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ARFC\5.講師教案\F014EXCEL\"/>
    </mc:Choice>
  </mc:AlternateContent>
  <xr:revisionPtr revIDLastSave="0" documentId="8_{147146B8-6C4B-4CB5-B704-7227CA416489}" xr6:coauthVersionLast="47" xr6:coauthVersionMax="47" xr10:uidLastSave="{00000000-0000-0000-0000-000000000000}"/>
  <bookViews>
    <workbookView xWindow="-120" yWindow="-120" windowWidth="15600" windowHeight="11160" activeTab="11" xr2:uid="{00000000-000D-0000-FFFF-FFFF00000000}"/>
  </bookViews>
  <sheets>
    <sheet name="Step1基本資料輸入" sheetId="1" r:id="rId1"/>
    <sheet name="Step2財務目標設定" sheetId="12" r:id="rId2"/>
    <sheet name="Step3收支與資產負債表" sheetId="10" r:id="rId3"/>
    <sheet name="Step4財務資料分析與四大帳戶" sheetId="8" r:id="rId4"/>
    <sheet name="保險需求分析" sheetId="13" r:id="rId5"/>
    <sheet name="教育金試算" sheetId="4" r:id="rId6"/>
    <sheet name="退休規劃試算" sheetId="2" r:id="rId7"/>
    <sheet name="購屋試算" sheetId="3" r:id="rId8"/>
    <sheet name="購車試算" sheetId="5" r:id="rId9"/>
    <sheet name="收支與資產負債表(調整後)" sheetId="14" r:id="rId10"/>
    <sheet name="短期財務目標試算" sheetId="6" r:id="rId11"/>
    <sheet name="參數表" sheetId="7" r:id="rId12"/>
  </sheets>
  <definedNames>
    <definedName name="_xlnm._FilterDatabase" localSheetId="5" hidden="1">教育金試算!$A$20:$D$25</definedName>
    <definedName name="_xlnm.Print_Area" localSheetId="0">Step1基本資料輸入!$A$1:$H$20</definedName>
    <definedName name="_xlnm.Print_Area" localSheetId="1">Step2財務目標設定!$A$1:$D$18</definedName>
    <definedName name="_xlnm.Print_Area" localSheetId="2">Step3收支與資產負債表!$A$1:$H$47</definedName>
    <definedName name="_xlnm.Print_Area" localSheetId="4">保險需求分析!$A$1:$H$27</definedName>
  </definedNames>
  <calcPr calcId="191029"/>
</workbook>
</file>

<file path=xl/calcChain.xml><?xml version="1.0" encoding="utf-8"?>
<calcChain xmlns="http://schemas.openxmlformats.org/spreadsheetml/2006/main">
  <c r="E11" i="7" l="1"/>
  <c r="D11" i="7"/>
  <c r="B13" i="2"/>
  <c r="B8" i="3" l="1"/>
  <c r="B6" i="3"/>
  <c r="B6" i="6"/>
  <c r="B8" i="6"/>
  <c r="H29" i="10"/>
  <c r="B18" i="3" l="1"/>
  <c r="B21" i="3" s="1"/>
  <c r="D8" i="3"/>
  <c r="C8" i="3"/>
  <c r="D6" i="6"/>
  <c r="C6" i="6"/>
  <c r="D8" i="5"/>
  <c r="C8" i="5"/>
  <c r="B8" i="5"/>
  <c r="D10" i="5"/>
  <c r="B10" i="5"/>
  <c r="C10" i="5"/>
  <c r="D6" i="5"/>
  <c r="D18" i="5" s="1"/>
  <c r="D21" i="5" s="1"/>
  <c r="C6" i="5"/>
  <c r="C18" i="5" s="1"/>
  <c r="C21" i="5" s="1"/>
  <c r="B6" i="5"/>
  <c r="B18" i="5" s="1"/>
  <c r="B12" i="5" l="1"/>
  <c r="B21" i="5" s="1"/>
  <c r="C12" i="5"/>
  <c r="D12" i="5"/>
  <c r="A20" i="1" l="1"/>
  <c r="A19" i="1"/>
  <c r="H42" i="14" l="1"/>
  <c r="H41" i="14"/>
  <c r="H40" i="14"/>
  <c r="G39" i="14"/>
  <c r="G38" i="14"/>
  <c r="G37" i="14"/>
  <c r="G43" i="14" s="1"/>
  <c r="C14" i="14" s="1"/>
  <c r="H31" i="14"/>
  <c r="H30" i="14"/>
  <c r="H29" i="14"/>
  <c r="H28" i="14"/>
  <c r="H32" i="14" s="1"/>
  <c r="G27" i="14"/>
  <c r="G26" i="14"/>
  <c r="G32" i="14" s="1"/>
  <c r="C11" i="14" s="1"/>
  <c r="D25" i="14"/>
  <c r="B25" i="14"/>
  <c r="H20" i="14"/>
  <c r="H19" i="14"/>
  <c r="H18" i="14"/>
  <c r="H17" i="14"/>
  <c r="H16" i="14"/>
  <c r="G15" i="14"/>
  <c r="G21" i="14" s="1"/>
  <c r="C8" i="14" s="1"/>
  <c r="B15" i="14"/>
  <c r="H10" i="14"/>
  <c r="G9" i="14"/>
  <c r="H8" i="14"/>
  <c r="G7" i="14"/>
  <c r="H6" i="14"/>
  <c r="H11" i="14" s="1"/>
  <c r="G5" i="14"/>
  <c r="G4" i="14"/>
  <c r="G3" i="14"/>
  <c r="H43" i="14" l="1"/>
  <c r="G11" i="14"/>
  <c r="C5" i="14" s="1"/>
  <c r="H21" i="14"/>
  <c r="D15" i="14"/>
  <c r="D26" i="13"/>
  <c r="E26" i="13"/>
  <c r="H26" i="13"/>
  <c r="H16" i="13"/>
  <c r="C23" i="13"/>
  <c r="C26" i="13" s="1"/>
  <c r="B23" i="13"/>
  <c r="B26" i="13" s="1"/>
  <c r="E17" i="13"/>
  <c r="E15" i="13"/>
  <c r="E14" i="13"/>
  <c r="E13" i="13"/>
  <c r="E16" i="13"/>
  <c r="H7" i="13"/>
  <c r="E6" i="13"/>
  <c r="E7" i="13"/>
  <c r="E5" i="13"/>
  <c r="E4" i="13"/>
  <c r="E3" i="13"/>
  <c r="H27" i="13" l="1"/>
  <c r="B18" i="13"/>
  <c r="H17" i="13" s="1"/>
  <c r="B8" i="13"/>
  <c r="H8" i="13" s="1"/>
  <c r="D31" i="4" l="1"/>
  <c r="D30" i="4"/>
  <c r="D29" i="4"/>
  <c r="D24" i="4"/>
  <c r="D23" i="4"/>
  <c r="D22" i="4"/>
  <c r="D15" i="4"/>
  <c r="D14" i="4"/>
  <c r="D16" i="4"/>
  <c r="C17" i="4" l="1"/>
  <c r="C25" i="4"/>
  <c r="C32" i="4"/>
  <c r="B26" i="10" l="1"/>
  <c r="D26" i="10"/>
  <c r="H43" i="10"/>
  <c r="H42" i="10"/>
  <c r="H41" i="10"/>
  <c r="G40" i="10"/>
  <c r="G39" i="10"/>
  <c r="G38" i="10"/>
  <c r="H32" i="10"/>
  <c r="H31" i="10"/>
  <c r="H30" i="10"/>
  <c r="G28" i="10"/>
  <c r="G27" i="10"/>
  <c r="H20" i="10"/>
  <c r="H19" i="10"/>
  <c r="H18" i="10"/>
  <c r="H17" i="10"/>
  <c r="H16" i="10"/>
  <c r="G15" i="10"/>
  <c r="G21" i="10" s="1"/>
  <c r="C8" i="10" s="1"/>
  <c r="H10" i="10"/>
  <c r="G9" i="10"/>
  <c r="H8" i="10"/>
  <c r="G7" i="10"/>
  <c r="H6" i="10"/>
  <c r="G5" i="10"/>
  <c r="G4" i="10"/>
  <c r="G3" i="10"/>
  <c r="B15" i="10"/>
  <c r="G33" i="10" l="1"/>
  <c r="C11" i="10" s="1"/>
  <c r="H21" i="10"/>
  <c r="G11" i="10"/>
  <c r="C5" i="10" s="1"/>
  <c r="G44" i="10"/>
  <c r="C14" i="10" s="1"/>
  <c r="H11" i="10"/>
  <c r="H33" i="10"/>
  <c r="H44" i="10"/>
  <c r="D15" i="10" l="1"/>
  <c r="B3" i="4"/>
  <c r="A12" i="4" s="1"/>
  <c r="B9" i="8" l="1"/>
  <c r="B7" i="8"/>
  <c r="B3" i="8"/>
  <c r="D8" i="6"/>
  <c r="C8" i="6"/>
  <c r="D3" i="4"/>
  <c r="A27" i="4" s="1"/>
  <c r="C3" i="4"/>
  <c r="A20" i="4" s="1"/>
  <c r="D10" i="3"/>
  <c r="C10" i="3"/>
  <c r="B10" i="3"/>
  <c r="B12" i="3" s="1"/>
  <c r="B13" i="3" s="1"/>
  <c r="D6" i="3"/>
  <c r="D18" i="3" s="1"/>
  <c r="D21" i="3" s="1"/>
  <c r="C6" i="3"/>
  <c r="C18" i="3" s="1"/>
  <c r="C21" i="3" s="1"/>
  <c r="C12" i="3" l="1"/>
  <c r="D12" i="3"/>
  <c r="D13" i="3" s="1"/>
  <c r="B9" i="6"/>
  <c r="B10" i="6" s="1"/>
  <c r="C9" i="6"/>
  <c r="C10" i="6" s="1"/>
  <c r="B13" i="5"/>
  <c r="B14" i="5" s="1"/>
  <c r="B14" i="3"/>
  <c r="D13" i="5"/>
  <c r="D14" i="5" s="1"/>
  <c r="D9" i="6"/>
  <c r="C3" i="2"/>
  <c r="B3" i="2"/>
  <c r="C13" i="3" l="1"/>
  <c r="C14" i="3" s="1"/>
  <c r="D14" i="3"/>
  <c r="D10" i="6"/>
  <c r="D11" i="6" s="1"/>
  <c r="C11" i="6"/>
  <c r="B11" i="6"/>
  <c r="C13" i="5"/>
  <c r="C14" i="5" s="1"/>
  <c r="C19" i="1"/>
  <c r="C20" i="1"/>
  <c r="C5" i="2" s="1"/>
  <c r="B5" i="2" l="1"/>
  <c r="E6" i="1"/>
  <c r="D4" i="4"/>
  <c r="D5" i="4" s="1"/>
  <c r="D6" i="4" s="1"/>
  <c r="E9" i="1"/>
  <c r="C4" i="4" s="1"/>
  <c r="C5" i="4" s="1"/>
  <c r="C6" i="4" s="1"/>
  <c r="E8" i="1"/>
  <c r="B4" i="4" s="1"/>
  <c r="B5" i="4" s="1"/>
  <c r="B6" i="4" s="1"/>
  <c r="E7" i="1"/>
  <c r="E5" i="1"/>
  <c r="E4" i="1"/>
  <c r="B4" i="2" l="1"/>
  <c r="B10" i="2" s="1"/>
  <c r="B7" i="2"/>
  <c r="B8" i="2" s="1"/>
  <c r="C4" i="2"/>
  <c r="C10" i="2" s="1"/>
  <c r="C7" i="2"/>
  <c r="C8" i="2" s="1"/>
  <c r="C13" i="2" s="1"/>
  <c r="D8" i="4"/>
  <c r="D9" i="4" s="1"/>
  <c r="D10" i="4" s="1"/>
  <c r="B8" i="4"/>
  <c r="B9" i="4" s="1"/>
  <c r="B10" i="4" s="1"/>
  <c r="C8" i="4"/>
  <c r="C9" i="4" s="1"/>
  <c r="C10" i="4" s="1"/>
  <c r="B5" i="8"/>
  <c r="B14" i="2"/>
  <c r="C14" i="2"/>
  <c r="B15" i="2" l="1"/>
  <c r="C15" i="2"/>
  <c r="B15" i="8" l="1"/>
</calcChain>
</file>

<file path=xl/sharedStrings.xml><?xml version="1.0" encoding="utf-8"?>
<sst xmlns="http://schemas.openxmlformats.org/spreadsheetml/2006/main" count="499" uniqueCount="343">
  <si>
    <t>客戶基本資料</t>
    <phoneticPr fontId="1" type="noConversion"/>
  </si>
  <si>
    <t>配偶</t>
    <phoneticPr fontId="1" type="noConversion"/>
  </si>
  <si>
    <t>子女</t>
    <phoneticPr fontId="1" type="noConversion"/>
  </si>
  <si>
    <t>父母</t>
    <phoneticPr fontId="1" type="noConversion"/>
  </si>
  <si>
    <t>年齡</t>
    <phoneticPr fontId="1" type="noConversion"/>
  </si>
  <si>
    <t>姓名</t>
    <phoneticPr fontId="1" type="noConversion"/>
  </si>
  <si>
    <t>性別</t>
    <phoneticPr fontId="1" type="noConversion"/>
  </si>
  <si>
    <t>理財收入</t>
    <phoneticPr fontId="1" type="noConversion"/>
  </si>
  <si>
    <t>其他收入</t>
    <phoneticPr fontId="1" type="noConversion"/>
  </si>
  <si>
    <t>收入</t>
    <phoneticPr fontId="1" type="noConversion"/>
  </si>
  <si>
    <t>支出</t>
    <phoneticPr fontId="1" type="noConversion"/>
  </si>
  <si>
    <t>年度收入支出表</t>
    <phoneticPr fontId="1" type="noConversion"/>
  </si>
  <si>
    <t>其他</t>
    <phoneticPr fontId="1" type="noConversion"/>
  </si>
  <si>
    <t>金融商品</t>
    <phoneticPr fontId="1" type="noConversion"/>
  </si>
  <si>
    <t>租賃收入</t>
    <phoneticPr fontId="1" type="noConversion"/>
  </si>
  <si>
    <t>資產負債表</t>
    <phoneticPr fontId="1" type="noConversion"/>
  </si>
  <si>
    <t>資產</t>
    <phoneticPr fontId="1" type="noConversion"/>
  </si>
  <si>
    <t>負債</t>
    <phoneticPr fontId="1" type="noConversion"/>
  </si>
  <si>
    <t>房貸</t>
    <phoneticPr fontId="1" type="noConversion"/>
  </si>
  <si>
    <t>信用貸款</t>
    <phoneticPr fontId="1" type="noConversion"/>
  </si>
  <si>
    <t>車貸</t>
    <phoneticPr fontId="1" type="noConversion"/>
  </si>
  <si>
    <t>卡債</t>
    <phoneticPr fontId="1" type="noConversion"/>
  </si>
  <si>
    <t>活期存款</t>
    <phoneticPr fontId="1" type="noConversion"/>
  </si>
  <si>
    <t>房地產</t>
    <phoneticPr fontId="1" type="noConversion"/>
  </si>
  <si>
    <t>保單現價</t>
    <phoneticPr fontId="1" type="noConversion"/>
  </si>
  <si>
    <t>有價證券</t>
    <phoneticPr fontId="1" type="noConversion"/>
  </si>
  <si>
    <t>財務目標設定</t>
    <phoneticPr fontId="1" type="noConversion"/>
  </si>
  <si>
    <t>財務金流控管</t>
    <phoneticPr fontId="1" type="noConversion"/>
  </si>
  <si>
    <t>房屋頭期款</t>
    <phoneticPr fontId="1" type="noConversion"/>
  </si>
  <si>
    <t>結婚基金</t>
    <phoneticPr fontId="1" type="noConversion"/>
  </si>
  <si>
    <t>購 / 換車</t>
    <phoneticPr fontId="1" type="noConversion"/>
  </si>
  <si>
    <t>子女教育金準備</t>
    <phoneticPr fontId="1" type="noConversion"/>
  </si>
  <si>
    <t>退休規劃</t>
    <phoneticPr fontId="1" type="noConversion"/>
  </si>
  <si>
    <t>遺贈規劃</t>
    <phoneticPr fontId="1" type="noConversion"/>
  </si>
  <si>
    <t>□</t>
    <phoneticPr fontId="1" type="noConversion"/>
  </si>
  <si>
    <t>短期目標(0~5年)</t>
    <phoneticPr fontId="1" type="noConversion"/>
  </si>
  <si>
    <t>中期目標(5~10年)</t>
    <phoneticPr fontId="1" type="noConversion"/>
  </si>
  <si>
    <t>長期目標(10年以上)</t>
    <phoneticPr fontId="1" type="noConversion"/>
  </si>
  <si>
    <t>風險規劃</t>
    <phoneticPr fontId="1" type="noConversion"/>
  </si>
  <si>
    <t>房屋貸款規劃</t>
    <phoneticPr fontId="1" type="noConversion"/>
  </si>
  <si>
    <t>信託規劃</t>
    <phoneticPr fontId="1" type="noConversion"/>
  </si>
  <si>
    <t>退休規劃試算</t>
    <phoneticPr fontId="1" type="noConversion"/>
  </si>
  <si>
    <t>尚餘工作時間</t>
    <phoneticPr fontId="1" type="noConversion"/>
  </si>
  <si>
    <t>退休生活時間</t>
    <phoneticPr fontId="1" type="noConversion"/>
  </si>
  <si>
    <t>退休金應備總額</t>
    <phoneticPr fontId="1" type="noConversion"/>
  </si>
  <si>
    <t>每年應準備金額</t>
    <phoneticPr fontId="1" type="noConversion"/>
  </si>
  <si>
    <t>子女姓名</t>
    <phoneticPr fontId="1" type="noConversion"/>
  </si>
  <si>
    <t>距上大學時間</t>
    <phoneticPr fontId="1" type="noConversion"/>
  </si>
  <si>
    <t>教育基金規劃(大學)</t>
    <phoneticPr fontId="1" type="noConversion"/>
  </si>
  <si>
    <t>教育金總缺口</t>
    <phoneticPr fontId="1" type="noConversion"/>
  </si>
  <si>
    <t>退休金總缺口</t>
    <phoneticPr fontId="1" type="noConversion"/>
  </si>
  <si>
    <t>目前已備金額</t>
    <phoneticPr fontId="1" type="noConversion"/>
  </si>
  <si>
    <t>預計購屋時間</t>
    <phoneticPr fontId="1" type="noConversion"/>
  </si>
  <si>
    <t>短期財務目標</t>
    <phoneticPr fontId="1" type="noConversion"/>
  </si>
  <si>
    <t>準備年期</t>
    <phoneticPr fontId="1" type="noConversion"/>
  </si>
  <si>
    <t>資金缺口</t>
    <phoneticPr fontId="1" type="noConversion"/>
  </si>
  <si>
    <t>購(換)車試算</t>
    <phoneticPr fontId="1" type="noConversion"/>
  </si>
  <si>
    <t>購(換)車資金缺口</t>
    <phoneticPr fontId="1" type="noConversion"/>
  </si>
  <si>
    <t>預計購(換)車時間(年)</t>
    <phoneticPr fontId="1" type="noConversion"/>
  </si>
  <si>
    <t>客戶資料輸入日期(YYYY/MM/DD)：</t>
    <phoneticPr fontId="1" type="noConversion"/>
  </si>
  <si>
    <t>生日(YYYY/MM/DD)</t>
    <phoneticPr fontId="1" type="noConversion"/>
  </si>
  <si>
    <t>總收入</t>
    <phoneticPr fontId="1" type="noConversion"/>
  </si>
  <si>
    <t>總支出</t>
    <phoneticPr fontId="1" type="noConversion"/>
  </si>
  <si>
    <t>總負債</t>
    <phoneticPr fontId="1" type="noConversion"/>
  </si>
  <si>
    <t>總資產</t>
    <phoneticPr fontId="1" type="noConversion"/>
  </si>
  <si>
    <t>預計退休年齡</t>
    <phoneticPr fontId="1" type="noConversion"/>
  </si>
  <si>
    <t>男</t>
    <phoneticPr fontId="1" type="noConversion"/>
  </si>
  <si>
    <t>女</t>
    <phoneticPr fontId="1" type="noConversion"/>
  </si>
  <si>
    <t>退休人姓名</t>
    <phoneticPr fontId="1" type="noConversion"/>
  </si>
  <si>
    <t>養老年期</t>
    <phoneticPr fontId="1" type="noConversion"/>
  </si>
  <si>
    <t>通貨膨脹率</t>
    <phoneticPr fontId="1" type="noConversion"/>
  </si>
  <si>
    <t>投資報酬率</t>
    <phoneticPr fontId="1" type="noConversion"/>
  </si>
  <si>
    <t>平均餘命</t>
    <phoneticPr fontId="1" type="noConversion"/>
  </si>
  <si>
    <t>每月應準備金額</t>
    <phoneticPr fontId="1" type="noConversion"/>
  </si>
  <si>
    <t>每月應準備金額</t>
    <phoneticPr fontId="1" type="noConversion"/>
  </si>
  <si>
    <t>每年應準備金額</t>
    <phoneticPr fontId="1" type="noConversion"/>
  </si>
  <si>
    <t>新屋市價(現值)</t>
    <phoneticPr fontId="1" type="noConversion"/>
  </si>
  <si>
    <t>新屋市價(終值)</t>
    <phoneticPr fontId="1" type="noConversion"/>
  </si>
  <si>
    <t>購屋資金缺口</t>
    <phoneticPr fontId="1" type="noConversion"/>
  </si>
  <si>
    <t>每年應準備總金額</t>
    <phoneticPr fontId="1" type="noConversion"/>
  </si>
  <si>
    <t>每月應準備總金額</t>
    <phoneticPr fontId="1" type="noConversion"/>
  </si>
  <si>
    <t>自有房屋(現值)</t>
    <phoneticPr fontId="1" type="noConversion"/>
  </si>
  <si>
    <t>自有房屋(終值)</t>
    <phoneticPr fontId="1" type="noConversion"/>
  </si>
  <si>
    <t>計畫</t>
    <phoneticPr fontId="1" type="noConversion"/>
  </si>
  <si>
    <t>財務目標金額(未來值)</t>
    <phoneticPr fontId="1" type="noConversion"/>
  </si>
  <si>
    <t>現有資金(現值)</t>
    <phoneticPr fontId="1" type="noConversion"/>
  </si>
  <si>
    <t>現有資金(未來值)</t>
    <phoneticPr fontId="1" type="noConversion"/>
  </si>
  <si>
    <t>財務目標金額(現值)</t>
    <phoneticPr fontId="1" type="noConversion"/>
  </si>
  <si>
    <t>計畫A</t>
    <phoneticPr fontId="1" type="noConversion"/>
  </si>
  <si>
    <t>計畫B</t>
    <phoneticPr fontId="1" type="noConversion"/>
  </si>
  <si>
    <t>每年應存</t>
    <phoneticPr fontId="1" type="noConversion"/>
  </si>
  <si>
    <t>每月應存</t>
    <phoneticPr fontId="1" type="noConversion"/>
  </si>
  <si>
    <t>新車市價(現值)</t>
    <phoneticPr fontId="1" type="noConversion"/>
  </si>
  <si>
    <t>新車市價(終值)</t>
    <phoneticPr fontId="1" type="noConversion"/>
  </si>
  <si>
    <t>自有汽車(終值)</t>
    <phoneticPr fontId="1" type="noConversion"/>
  </si>
  <si>
    <t>自有汽車(現值)</t>
    <phoneticPr fontId="1" type="noConversion"/>
  </si>
  <si>
    <t>自備款(終值)</t>
    <phoneticPr fontId="1" type="noConversion"/>
  </si>
  <si>
    <t>一般支出(年)</t>
    <phoneticPr fontId="1" type="noConversion"/>
  </si>
  <si>
    <t>工作收入(年)</t>
    <phoneticPr fontId="1" type="noConversion"/>
  </si>
  <si>
    <t>個人收入</t>
    <phoneticPr fontId="1" type="noConversion"/>
  </si>
  <si>
    <t>配偶收入</t>
    <phoneticPr fontId="1" type="noConversion"/>
  </si>
  <si>
    <t>驗證資料</t>
    <phoneticPr fontId="1" type="noConversion"/>
  </si>
  <si>
    <t>性別</t>
    <phoneticPr fontId="1" type="noConversion"/>
  </si>
  <si>
    <t>年期</t>
    <phoneticPr fontId="1" type="noConversion"/>
  </si>
  <si>
    <t>國內研究所</t>
    <phoneticPr fontId="1" type="noConversion"/>
  </si>
  <si>
    <t>國外研究所</t>
    <phoneticPr fontId="1" type="noConversion"/>
  </si>
  <si>
    <t>博士班</t>
  </si>
  <si>
    <t>博士班</t>
    <phoneticPr fontId="1" type="noConversion"/>
  </si>
  <si>
    <t>年期</t>
    <phoneticPr fontId="1" type="noConversion"/>
  </si>
  <si>
    <t>選擇</t>
    <phoneticPr fontId="1" type="noConversion"/>
  </si>
  <si>
    <t>學費</t>
    <phoneticPr fontId="1" type="noConversion"/>
  </si>
  <si>
    <t>國內國立大學</t>
  </si>
  <si>
    <t>國內國立大學</t>
    <phoneticPr fontId="1" type="noConversion"/>
  </si>
  <si>
    <t>國內私立大學</t>
    <phoneticPr fontId="1" type="noConversion"/>
  </si>
  <si>
    <t>不選擇</t>
    <phoneticPr fontId="1" type="noConversion"/>
  </si>
  <si>
    <t>學程</t>
    <phoneticPr fontId="1" type="noConversion"/>
  </si>
  <si>
    <t xml:space="preserve"> </t>
    <phoneticPr fontId="1" type="noConversion"/>
  </si>
  <si>
    <t>總金額</t>
    <phoneticPr fontId="1" type="noConversion"/>
  </si>
  <si>
    <t>總金額</t>
    <phoneticPr fontId="1" type="noConversion"/>
  </si>
  <si>
    <t>大學</t>
    <phoneticPr fontId="1" type="noConversion"/>
  </si>
  <si>
    <t>博士</t>
    <phoneticPr fontId="1" type="noConversion"/>
  </si>
  <si>
    <t>碩士</t>
    <phoneticPr fontId="1" type="noConversion"/>
  </si>
  <si>
    <t>財務資料分析</t>
    <phoneticPr fontId="1" type="noConversion"/>
  </si>
  <si>
    <t>項目</t>
    <phoneticPr fontId="1" type="noConversion"/>
  </si>
  <si>
    <t>數據</t>
    <phoneticPr fontId="1" type="noConversion"/>
  </si>
  <si>
    <t>理想值</t>
    <phoneticPr fontId="1" type="noConversion"/>
  </si>
  <si>
    <t>說明</t>
    <phoneticPr fontId="1" type="noConversion"/>
  </si>
  <si>
    <t>儲蓄率</t>
    <phoneticPr fontId="1" type="noConversion"/>
  </si>
  <si>
    <t>負債比</t>
    <phoneticPr fontId="1" type="noConversion"/>
  </si>
  <si>
    <t>生活週轉金</t>
    <phoneticPr fontId="1" type="noConversion"/>
  </si>
  <si>
    <t>財務自由度</t>
    <phoneticPr fontId="1" type="noConversion"/>
  </si>
  <si>
    <t>&gt;25%</t>
    <phoneticPr fontId="1" type="noConversion"/>
  </si>
  <si>
    <t>≦30%</t>
    <phoneticPr fontId="1" type="noConversion"/>
  </si>
  <si>
    <t>&gt;1.0</t>
    <phoneticPr fontId="1" type="noConversion"/>
  </si>
  <si>
    <t>3~6</t>
    <phoneticPr fontId="1" type="noConversion"/>
  </si>
  <si>
    <t>公式 = 流動性資產 ÷ 家庭平均月支出</t>
    <phoneticPr fontId="1" type="noConversion"/>
  </si>
  <si>
    <t>公式 = ( 生息資產 x 投資報酬率)
                     或是
            (家庭理財收入 + 其他收入) ÷ 家庭年支出</t>
    <phoneticPr fontId="1" type="noConversion"/>
  </si>
  <si>
    <t>公式 = 年儲蓄額 ( 含固定儲蓄投資 + 年結餘 ) ÷ 年收入</t>
    <phoneticPr fontId="1" type="noConversion"/>
  </si>
  <si>
    <t>年終獎金</t>
    <phoneticPr fontId="1" type="noConversion"/>
  </si>
  <si>
    <t>保單還本金</t>
    <phoneticPr fontId="1" type="noConversion"/>
  </si>
  <si>
    <t>理財支出</t>
    <phoneticPr fontId="1" type="noConversion"/>
  </si>
  <si>
    <t>其他支出</t>
    <phoneticPr fontId="1" type="noConversion"/>
  </si>
  <si>
    <r>
      <t>含食</t>
    </r>
    <r>
      <rPr>
        <sz val="12"/>
        <color theme="1"/>
        <rFont val="新細明體"/>
        <family val="1"/>
        <charset val="136"/>
      </rPr>
      <t>、衣、住、行、育、樂、衛、</t>
    </r>
    <r>
      <rPr>
        <sz val="12"/>
        <color theme="1"/>
        <rFont val="新細明體"/>
        <family val="2"/>
        <charset val="136"/>
        <scheme val="minor"/>
      </rPr>
      <t>稅務</t>
    </r>
    <phoneticPr fontId="1" type="noConversion"/>
  </si>
  <si>
    <t>含各項固定投資與理財型商品購買</t>
    <phoneticPr fontId="1" type="noConversion"/>
  </si>
  <si>
    <t>保障型支出</t>
    <phoneticPr fontId="1" type="noConversion"/>
  </si>
  <si>
    <r>
      <t>含勞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charset val="136"/>
        <scheme val="minor"/>
      </rPr>
      <t>健保</t>
    </r>
    <r>
      <rPr>
        <sz val="12"/>
        <color theme="1"/>
        <rFont val="新細明體"/>
        <family val="1"/>
        <charset val="136"/>
      </rPr>
      <t>、個人商業保險(保障型)、產物保險</t>
    </r>
    <phoneticPr fontId="1" type="noConversion"/>
  </si>
  <si>
    <t>食</t>
    <phoneticPr fontId="1" type="noConversion"/>
  </si>
  <si>
    <t>衣</t>
    <phoneticPr fontId="1" type="noConversion"/>
  </si>
  <si>
    <t>住(房屋貸款或租金)</t>
    <phoneticPr fontId="1" type="noConversion"/>
  </si>
  <si>
    <t>行(大眾交通或車輛養護)</t>
    <phoneticPr fontId="1" type="noConversion"/>
  </si>
  <si>
    <t>育(進修教育或幼兒教育支出)</t>
    <phoneticPr fontId="1" type="noConversion"/>
  </si>
  <si>
    <t>樂(出國旅行或其他娛樂休閒)</t>
    <phoneticPr fontId="1" type="noConversion"/>
  </si>
  <si>
    <t>每年</t>
    <phoneticPr fontId="1" type="noConversion"/>
  </si>
  <si>
    <t>每月</t>
    <phoneticPr fontId="1" type="noConversion"/>
  </si>
  <si>
    <r>
      <t>稅務(所得稅</t>
    </r>
    <r>
      <rPr>
        <sz val="12"/>
        <color theme="1"/>
        <rFont val="新細明體"/>
        <family val="1"/>
        <charset val="136"/>
      </rPr>
      <t>、房屋稅、汽車稅</t>
    </r>
    <r>
      <rPr>
        <sz val="12"/>
        <color theme="1"/>
        <rFont val="新細明體"/>
        <family val="2"/>
        <charset val="136"/>
        <scheme val="minor"/>
      </rPr>
      <t>)</t>
    </r>
    <phoneticPr fontId="1" type="noConversion"/>
  </si>
  <si>
    <t>總計</t>
    <phoneticPr fontId="1" type="noConversion"/>
  </si>
  <si>
    <t>一般支出表(請填白色空格)</t>
    <phoneticPr fontId="1" type="noConversion"/>
  </si>
  <si>
    <t>支出項目</t>
    <phoneticPr fontId="1" type="noConversion"/>
  </si>
  <si>
    <t>定期定額基金</t>
    <phoneticPr fontId="1" type="noConversion"/>
  </si>
  <si>
    <t>股票投資</t>
    <phoneticPr fontId="1" type="noConversion"/>
  </si>
  <si>
    <t>理財型保單</t>
    <phoneticPr fontId="1" type="noConversion"/>
  </si>
  <si>
    <t>理財支出表(請填白色空格)</t>
    <phoneticPr fontId="1" type="noConversion"/>
  </si>
  <si>
    <t>定存單</t>
    <phoneticPr fontId="1" type="noConversion"/>
  </si>
  <si>
    <t>債券</t>
    <phoneticPr fontId="1" type="noConversion"/>
  </si>
  <si>
    <t>其他理財工具</t>
    <phoneticPr fontId="1" type="noConversion"/>
  </si>
  <si>
    <t>其他支出表(請填白色空格)</t>
    <phoneticPr fontId="1" type="noConversion"/>
  </si>
  <si>
    <t>其他支出 (2)</t>
  </si>
  <si>
    <t>其他支出 (3)</t>
  </si>
  <si>
    <t>其他支出 (4)</t>
  </si>
  <si>
    <t>非上述各項支出</t>
    <phoneticPr fontId="1" type="noConversion"/>
  </si>
  <si>
    <t>支出項目(項目名稱可自行更改)</t>
    <phoneticPr fontId="1" type="noConversion"/>
  </si>
  <si>
    <t>保障型支出表(請填白色空格)</t>
    <phoneticPr fontId="1" type="noConversion"/>
  </si>
  <si>
    <t>健保</t>
    <phoneticPr fontId="1" type="noConversion"/>
  </si>
  <si>
    <r>
      <t>勞保(公保</t>
    </r>
    <r>
      <rPr>
        <sz val="12"/>
        <color theme="1"/>
        <rFont val="新細明體"/>
        <family val="1"/>
        <charset val="136"/>
      </rPr>
      <t>、軍保</t>
    </r>
    <r>
      <rPr>
        <sz val="12"/>
        <color theme="1"/>
        <rFont val="新細明體"/>
        <family val="2"/>
        <charset val="136"/>
        <scheme val="minor"/>
      </rPr>
      <t>)</t>
    </r>
    <phoneticPr fontId="1" type="noConversion"/>
  </si>
  <si>
    <r>
      <t>產物保險(車險</t>
    </r>
    <r>
      <rPr>
        <sz val="12"/>
        <color theme="1"/>
        <rFont val="新細明體"/>
        <family val="1"/>
        <charset val="136"/>
      </rPr>
      <t>、房屋險</t>
    </r>
    <r>
      <rPr>
        <sz val="12"/>
        <color theme="1"/>
        <rFont val="新細明體"/>
        <family val="2"/>
        <charset val="136"/>
        <scheme val="minor"/>
      </rPr>
      <t>)</t>
    </r>
    <phoneticPr fontId="1" type="noConversion"/>
  </si>
  <si>
    <t>個人或家庭商業保險(保障型)</t>
    <phoneticPr fontId="1" type="noConversion"/>
  </si>
  <si>
    <t>其他保險 (1)</t>
    <phoneticPr fontId="1" type="noConversion"/>
  </si>
  <si>
    <t>其他保險 (2)</t>
  </si>
  <si>
    <t>其他收入(1)</t>
    <phoneticPr fontId="1" type="noConversion"/>
  </si>
  <si>
    <t>其他收入(2)</t>
    <phoneticPr fontId="1" type="noConversion"/>
  </si>
  <si>
    <r>
      <t>衛生保健(醫療</t>
    </r>
    <r>
      <rPr>
        <sz val="12"/>
        <color theme="1"/>
        <rFont val="新細明體"/>
        <family val="1"/>
        <charset val="136"/>
      </rPr>
      <t>、美妝或保健品</t>
    </r>
    <r>
      <rPr>
        <sz val="12"/>
        <color theme="1"/>
        <rFont val="新細明體"/>
        <family val="2"/>
        <charset val="136"/>
        <scheme val="minor"/>
      </rPr>
      <t>)</t>
    </r>
    <phoneticPr fontId="1" type="noConversion"/>
  </si>
  <si>
    <t>父母奉養金</t>
    <phoneticPr fontId="1" type="noConversion"/>
  </si>
  <si>
    <t>十一捐獻</t>
    <phoneticPr fontId="1" type="noConversion"/>
  </si>
  <si>
    <t>帳戶儲蓄(固定儲蓄)</t>
    <phoneticPr fontId="1" type="noConversion"/>
  </si>
  <si>
    <t>現金類帳戶</t>
    <phoneticPr fontId="1" type="noConversion"/>
  </si>
  <si>
    <t>投資類帳戶</t>
    <phoneticPr fontId="1" type="noConversion"/>
  </si>
  <si>
    <t>帳戶</t>
    <phoneticPr fontId="1" type="noConversion"/>
  </si>
  <si>
    <t>現況</t>
    <phoneticPr fontId="1" type="noConversion"/>
  </si>
  <si>
    <t>準備3-6個月緊急準備金與靈活現金(財務安全)</t>
    <phoneticPr fontId="1" type="noConversion"/>
  </si>
  <si>
    <t xml:space="preserve">理財類帳戶
</t>
    <phoneticPr fontId="1" type="noConversion"/>
  </si>
  <si>
    <t xml:space="preserve">保障類帳戶
</t>
    <phoneticPr fontId="1" type="noConversion"/>
  </si>
  <si>
    <r>
      <t>包含壽險</t>
    </r>
    <r>
      <rPr>
        <sz val="12"/>
        <color theme="1"/>
        <rFont val="新細明體"/>
        <family val="1"/>
        <charset val="136"/>
      </rPr>
      <t>、意外險、重大疾病險、醫療險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2"/>
        <color theme="1"/>
        <rFont val="新細明體"/>
        <family val="1"/>
        <charset val="136"/>
      </rPr>
      <t>預防生老病死缺口(財務安全)</t>
    </r>
    <phoneticPr fontId="1" type="noConversion"/>
  </si>
  <si>
    <r>
      <t>包含定存</t>
    </r>
    <r>
      <rPr>
        <sz val="12"/>
        <color theme="1"/>
        <rFont val="新細明體"/>
        <family val="1"/>
        <charset val="136"/>
      </rPr>
      <t>、年金、養老保險</t>
    </r>
    <r>
      <rPr>
        <sz val="12"/>
        <color theme="1"/>
        <rFont val="新細明體"/>
        <family val="2"/>
        <charset val="136"/>
        <scheme val="minor"/>
      </rPr>
      <t xml:space="preserve">
教育與養老金來源(財務獨立)</t>
    </r>
    <phoneticPr fontId="1" type="noConversion"/>
  </si>
  <si>
    <t>國外研究所</t>
  </si>
  <si>
    <t>費用/年</t>
    <phoneticPr fontId="1" type="noConversion"/>
  </si>
  <si>
    <t>教育基金需求總額(未來值)</t>
    <phoneticPr fontId="1" type="noConversion"/>
  </si>
  <si>
    <t>現況說明</t>
    <phoneticPr fontId="1" type="noConversion"/>
  </si>
  <si>
    <r>
      <t>包含股票</t>
    </r>
    <r>
      <rPr>
        <sz val="12"/>
        <color theme="1"/>
        <rFont val="新細明體"/>
        <family val="1"/>
        <charset val="136"/>
      </rPr>
      <t>、基金、債券、選擇權、衍生性金融商品、投資型保單</t>
    </r>
    <r>
      <rPr>
        <sz val="12"/>
        <color theme="1"/>
        <rFont val="新細明體"/>
        <family val="2"/>
        <charset val="136"/>
        <scheme val="minor"/>
      </rPr>
      <t xml:space="preserve">
創造非工資收入與財富(財務自由)</t>
    </r>
    <phoneticPr fontId="1" type="noConversion"/>
  </si>
  <si>
    <t>男</t>
  </si>
  <si>
    <t>女</t>
  </si>
  <si>
    <t>已備退休金(終值)</t>
    <phoneticPr fontId="1" type="noConversion"/>
  </si>
  <si>
    <t>已備退休金(現值)</t>
    <phoneticPr fontId="1" type="noConversion"/>
  </si>
  <si>
    <t>家庭現況簡述</t>
    <phoneticPr fontId="1" type="noConversion"/>
  </si>
  <si>
    <t>工作收入現況簡述</t>
    <phoneticPr fontId="1" type="noConversion"/>
  </si>
  <si>
    <t>當前財務現況感覺</t>
    <phoneticPr fontId="1" type="noConversion"/>
  </si>
  <si>
    <t>客戶現況說明</t>
    <phoneticPr fontId="1" type="noConversion"/>
  </si>
  <si>
    <t>說明內容</t>
    <phoneticPr fontId="1" type="noConversion"/>
  </si>
  <si>
    <t>未來財務目標想法</t>
    <phoneticPr fontId="1" type="noConversion"/>
  </si>
  <si>
    <t>說明內容</t>
    <phoneticPr fontId="1" type="noConversion"/>
  </si>
  <si>
    <t>說明內容</t>
    <phoneticPr fontId="1" type="noConversion"/>
  </si>
  <si>
    <t>說明內容</t>
    <phoneticPr fontId="1" type="noConversion"/>
  </si>
  <si>
    <t>老爸</t>
    <phoneticPr fontId="1" type="noConversion"/>
  </si>
  <si>
    <t>老媽</t>
    <phoneticPr fontId="1" type="noConversion"/>
  </si>
  <si>
    <t>大兒子</t>
    <phoneticPr fontId="1" type="noConversion"/>
  </si>
  <si>
    <t>小女兒</t>
    <phoneticPr fontId="1" type="noConversion"/>
  </si>
  <si>
    <t>對象</t>
    <phoneticPr fontId="1" type="noConversion"/>
  </si>
  <si>
    <r>
      <t>兩人皆在科技業工作</t>
    </r>
    <r>
      <rPr>
        <sz val="12"/>
        <color theme="1"/>
        <rFont val="新細明體"/>
        <family val="1"/>
        <charset val="136"/>
      </rPr>
      <t>發展穩定，</t>
    </r>
    <r>
      <rPr>
        <sz val="12"/>
        <color theme="1"/>
        <rFont val="新細明體"/>
        <family val="1"/>
        <charset val="136"/>
        <scheme val="minor"/>
      </rPr>
      <t>總年收入約為200萬</t>
    </r>
    <phoneticPr fontId="1" type="noConversion"/>
  </si>
  <si>
    <r>
      <t>雖然已開始工作10年並有記帳習慣</t>
    </r>
    <r>
      <rPr>
        <sz val="12"/>
        <color theme="1"/>
        <rFont val="新細明體"/>
        <family val="1"/>
        <charset val="136"/>
      </rPr>
      <t>，沒有豪奢的消費行為，但是帳戶中現金存量並不多，想重新檢視收入支出狀況，並且針對當前的各項財務目標擬定計畫</t>
    </r>
    <phoneticPr fontId="1" type="noConversion"/>
  </si>
  <si>
    <t>國外公立大學</t>
    <phoneticPr fontId="1" type="noConversion"/>
  </si>
  <si>
    <t>國外私立大學</t>
  </si>
  <si>
    <t>國外私立大學</t>
    <phoneticPr fontId="1" type="noConversion"/>
  </si>
  <si>
    <r>
      <t>提供子女大學畢業後能有100萬的基金作為留學或是創業之需</t>
    </r>
    <r>
      <rPr>
        <sz val="12"/>
        <color theme="1"/>
        <rFont val="新細明體"/>
        <family val="1"/>
        <charset val="136"/>
      </rPr>
      <t>，檢視現金流量清償房屋貸款，同時為夫婦兩人做好退休準備，未來不會成為子女負擔</t>
    </r>
    <phoneticPr fontId="1" type="noConversion"/>
  </si>
  <si>
    <t>國內私立大學</t>
  </si>
  <si>
    <t>S先生</t>
    <phoneticPr fontId="1" type="noConversion"/>
  </si>
  <si>
    <t>Y小姐</t>
    <phoneticPr fontId="1" type="noConversion"/>
  </si>
  <si>
    <t>計畫C</t>
    <phoneticPr fontId="1" type="noConversion"/>
  </si>
  <si>
    <t>□</t>
  </si>
  <si>
    <t>■</t>
    <phoneticPr fontId="1" type="noConversion"/>
  </si>
  <si>
    <t>□</t>
    <phoneticPr fontId="1" type="noConversion"/>
  </si>
  <si>
    <t>用途說明</t>
    <phoneticPr fontId="1" type="noConversion"/>
  </si>
  <si>
    <t>項目</t>
    <phoneticPr fontId="1" type="noConversion"/>
  </si>
  <si>
    <t>金額</t>
    <phoneticPr fontId="1" type="noConversion"/>
  </si>
  <si>
    <t>金額</t>
    <phoneticPr fontId="1" type="noConversion"/>
  </si>
  <si>
    <t>用途說明</t>
    <phoneticPr fontId="1" type="noConversion"/>
  </si>
  <si>
    <r>
      <t>夫妻兩人育有一子一女尚在求學階段</t>
    </r>
    <r>
      <rPr>
        <sz val="12"/>
        <color theme="1"/>
        <rFont val="新細明體"/>
        <family val="1"/>
        <charset val="136"/>
      </rPr>
      <t>，父母皆健在不需負擔奉養金。去年年底購置新屋，每 月房貸負擔約5萬元。</t>
    </r>
    <phoneticPr fontId="1" type="noConversion"/>
  </si>
  <si>
    <t>本人父母孝養金</t>
    <phoneticPr fontId="6" type="noConversion"/>
  </si>
  <si>
    <t>房貸餘額</t>
    <phoneticPr fontId="6" type="noConversion"/>
  </si>
  <si>
    <t>最後費用</t>
    <phoneticPr fontId="6" type="noConversion"/>
  </si>
  <si>
    <t>家人生活費用</t>
    <phoneticPr fontId="6" type="noConversion"/>
  </si>
  <si>
    <t>房貸餘額</t>
    <phoneticPr fontId="6" type="noConversion"/>
  </si>
  <si>
    <t>每年</t>
    <phoneticPr fontId="1" type="noConversion"/>
  </si>
  <si>
    <t>基數</t>
    <phoneticPr fontId="1" type="noConversion"/>
  </si>
  <si>
    <t>需求金額</t>
    <phoneticPr fontId="1" type="noConversion"/>
  </si>
  <si>
    <t>負擔人數</t>
    <phoneticPr fontId="1" type="noConversion"/>
  </si>
  <si>
    <t>定期壽險</t>
    <phoneticPr fontId="1" type="noConversion"/>
  </si>
  <si>
    <t>終身壽險</t>
    <phoneticPr fontId="1" type="noConversion"/>
  </si>
  <si>
    <t>保額</t>
    <phoneticPr fontId="1" type="noConversion"/>
  </si>
  <si>
    <t>薪資補償</t>
    <phoneticPr fontId="1" type="noConversion"/>
  </si>
  <si>
    <t>病房差額</t>
    <phoneticPr fontId="1" type="noConversion"/>
  </si>
  <si>
    <t>家人生活費用</t>
    <phoneticPr fontId="6" type="noConversion"/>
  </si>
  <si>
    <t>其他貸款餘額</t>
    <phoneticPr fontId="6" type="noConversion"/>
  </si>
  <si>
    <t>其他貸款餘額</t>
    <phoneticPr fontId="6" type="noConversion"/>
  </si>
  <si>
    <t>應備總額</t>
    <phoneticPr fontId="1" type="noConversion"/>
  </si>
  <si>
    <t>基數</t>
    <phoneticPr fontId="1" type="noConversion"/>
  </si>
  <si>
    <t>年期</t>
    <phoneticPr fontId="1" type="noConversion"/>
  </si>
  <si>
    <t>需求金額</t>
    <phoneticPr fontId="1" type="noConversion"/>
  </si>
  <si>
    <t>應備總額</t>
    <phoneticPr fontId="1" type="noConversion"/>
  </si>
  <si>
    <t>單位</t>
    <phoneticPr fontId="1" type="noConversion"/>
  </si>
  <si>
    <t>每年</t>
    <phoneticPr fontId="1" type="noConversion"/>
  </si>
  <si>
    <t>負擔人數</t>
    <phoneticPr fontId="1" type="noConversion"/>
  </si>
  <si>
    <t>單位</t>
    <phoneticPr fontId="1" type="noConversion"/>
  </si>
  <si>
    <t>每年</t>
    <phoneticPr fontId="1" type="noConversion"/>
  </si>
  <si>
    <t>本人生活費用(殘扶)</t>
    <phoneticPr fontId="6" type="noConversion"/>
  </si>
  <si>
    <t>應備日額總額</t>
    <phoneticPr fontId="1" type="noConversion"/>
  </si>
  <si>
    <t>本人</t>
    <phoneticPr fontId="1" type="noConversion"/>
  </si>
  <si>
    <t>配偶</t>
    <phoneticPr fontId="1" type="noConversion"/>
  </si>
  <si>
    <t>子女</t>
    <phoneticPr fontId="1" type="noConversion"/>
  </si>
  <si>
    <t>定期日額</t>
    <phoneticPr fontId="1" type="noConversion"/>
  </si>
  <si>
    <t>實支實付</t>
    <phoneticPr fontId="1" type="noConversion"/>
  </si>
  <si>
    <t>看護費用(薪資補償*)</t>
    <phoneticPr fontId="1" type="noConversion"/>
  </si>
  <si>
    <t>團體保險保額</t>
    <phoneticPr fontId="1" type="noConversion"/>
  </si>
  <si>
    <t>軍公教保險保額</t>
    <phoneticPr fontId="1" type="noConversion"/>
  </si>
  <si>
    <t>商業保險保額</t>
    <phoneticPr fontId="1" type="noConversion"/>
  </si>
  <si>
    <t>保額</t>
    <phoneticPr fontId="1" type="noConversion"/>
  </si>
  <si>
    <t>意外險種</t>
    <phoneticPr fontId="1" type="noConversion"/>
  </si>
  <si>
    <t>勞保保險</t>
    <phoneticPr fontId="1" type="noConversion"/>
  </si>
  <si>
    <t>壽險缺口</t>
    <phoneticPr fontId="1" type="noConversion"/>
  </si>
  <si>
    <t>總日額</t>
    <phoneticPr fontId="1" type="noConversion"/>
  </si>
  <si>
    <t>住院日額缺口</t>
    <phoneticPr fontId="1" type="noConversion"/>
  </si>
  <si>
    <t>意外險缺口</t>
    <phoneticPr fontId="1" type="noConversion"/>
  </si>
  <si>
    <t>軍公教保險保額</t>
    <phoneticPr fontId="1" type="noConversion"/>
  </si>
  <si>
    <t>壽險總保額</t>
    <phoneticPr fontId="1" type="noConversion"/>
  </si>
  <si>
    <t>意外險總保額</t>
    <phoneticPr fontId="1" type="noConversion"/>
  </si>
  <si>
    <t>終身日額</t>
    <phoneticPr fontId="1" type="noConversion"/>
  </si>
  <si>
    <t>住院日額險種</t>
    <phoneticPr fontId="1" type="noConversion"/>
  </si>
  <si>
    <t>保額</t>
    <phoneticPr fontId="1" type="noConversion"/>
  </si>
  <si>
    <t>壽險已備(本人)</t>
    <phoneticPr fontId="1" type="noConversion"/>
  </si>
  <si>
    <t>意外險已備(本人)</t>
    <phoneticPr fontId="1" type="noConversion"/>
  </si>
  <si>
    <t>意外險應備(本人)</t>
    <phoneticPr fontId="1" type="noConversion"/>
  </si>
  <si>
    <t>住院日額應備</t>
    <phoneticPr fontId="1" type="noConversion"/>
  </si>
  <si>
    <t>住院日額已備(本人)</t>
    <phoneticPr fontId="1" type="noConversion"/>
  </si>
  <si>
    <t>壽險應備(本人)</t>
    <phoneticPr fontId="1" type="noConversion"/>
  </si>
  <si>
    <t>年度收入支出表(調整後)</t>
    <phoneticPr fontId="1" type="noConversion"/>
  </si>
  <si>
    <t>資產負債表(調整後)</t>
    <phoneticPr fontId="1" type="noConversion"/>
  </si>
  <si>
    <t>一般支出表(調整後)</t>
    <phoneticPr fontId="1" type="noConversion"/>
  </si>
  <si>
    <t>理財支出表(調整後)</t>
    <phoneticPr fontId="1" type="noConversion"/>
  </si>
  <si>
    <t>保障型支出表(調整後)</t>
    <phoneticPr fontId="1" type="noConversion"/>
  </si>
  <si>
    <t>其他支出表(調整後)</t>
    <phoneticPr fontId="1" type="noConversion"/>
  </si>
  <si>
    <t>本人</t>
    <phoneticPr fontId="1" type="noConversion"/>
  </si>
  <si>
    <t>退休後投報率</t>
    <phoneticPr fontId="1" type="noConversion"/>
  </si>
  <si>
    <t>預計退休每月所需(現值)</t>
    <phoneticPr fontId="1" type="noConversion"/>
  </si>
  <si>
    <t>退休每月所需(終值)</t>
    <phoneticPr fontId="1" type="noConversion"/>
  </si>
  <si>
    <t>物品折舊率</t>
    <phoneticPr fontId="1" type="noConversion"/>
  </si>
  <si>
    <t>退休規劃建議與執行方案</t>
    <phoneticPr fontId="1" type="noConversion"/>
  </si>
  <si>
    <t>退休計畫現況</t>
    <phoneticPr fontId="1" type="noConversion"/>
  </si>
  <si>
    <t>退休計畫建議</t>
    <phoneticPr fontId="1" type="noConversion"/>
  </si>
  <si>
    <t>退休計畫執行方案</t>
    <phoneticPr fontId="1" type="noConversion"/>
  </si>
  <si>
    <t>購(換)屋建議與執行方案</t>
    <phoneticPr fontId="1" type="noConversion"/>
  </si>
  <si>
    <t>購屋計畫現況</t>
    <phoneticPr fontId="1" type="noConversion"/>
  </si>
  <si>
    <t>購屋計畫建議</t>
    <phoneticPr fontId="1" type="noConversion"/>
  </si>
  <si>
    <t>購屋計畫執行方案</t>
    <phoneticPr fontId="1" type="noConversion"/>
  </si>
  <si>
    <t>自備款(現值)</t>
    <phoneticPr fontId="1" type="noConversion"/>
  </si>
  <si>
    <t>貸款成數</t>
    <phoneticPr fontId="1" type="noConversion"/>
  </si>
  <si>
    <t>B計畫(新購)</t>
    <phoneticPr fontId="1" type="noConversion"/>
  </si>
  <si>
    <t>貸款成數</t>
    <phoneticPr fontId="1" type="noConversion"/>
  </si>
  <si>
    <t>計畫A(舊換新)</t>
    <phoneticPr fontId="1" type="noConversion"/>
  </si>
  <si>
    <t>計畫B(新購車)</t>
    <phoneticPr fontId="1" type="noConversion"/>
  </si>
  <si>
    <t>計畫C(晚點買)</t>
    <phoneticPr fontId="1" type="noConversion"/>
  </si>
  <si>
    <t>C計畫(準備期長)</t>
    <phoneticPr fontId="1" type="noConversion"/>
  </si>
  <si>
    <t>A計畫(舊換新)</t>
    <phoneticPr fontId="1" type="noConversion"/>
  </si>
  <si>
    <t>購車計畫現況</t>
    <phoneticPr fontId="1" type="noConversion"/>
  </si>
  <si>
    <t>購車計畫建議</t>
    <phoneticPr fontId="1" type="noConversion"/>
  </si>
  <si>
    <t>購車計畫執行方案</t>
    <phoneticPr fontId="1" type="noConversion"/>
  </si>
  <si>
    <t>購(換)屋規劃  (頭期款)</t>
    <phoneticPr fontId="1" type="noConversion"/>
  </si>
  <si>
    <t>購(換)屋規劃  (每月還款金額)</t>
    <phoneticPr fontId="1" type="noConversion"/>
  </si>
  <si>
    <t>貸款總額</t>
    <phoneticPr fontId="1" type="noConversion"/>
  </si>
  <si>
    <t>每月還款金額</t>
    <phoneticPr fontId="1" type="noConversion"/>
  </si>
  <si>
    <t>貸款利率</t>
    <phoneticPr fontId="1" type="noConversion"/>
  </si>
  <si>
    <t>計畫</t>
    <phoneticPr fontId="1" type="noConversion"/>
  </si>
  <si>
    <t>A計畫</t>
    <phoneticPr fontId="1" type="noConversion"/>
  </si>
  <si>
    <t>B計畫</t>
    <phoneticPr fontId="1" type="noConversion"/>
  </si>
  <si>
    <t>C計畫</t>
    <phoneticPr fontId="1" type="noConversion"/>
  </si>
  <si>
    <t>貸款年期</t>
    <phoneticPr fontId="1" type="noConversion"/>
  </si>
  <si>
    <t>每年利息多繳 9000元</t>
    <phoneticPr fontId="1" type="noConversion"/>
  </si>
  <si>
    <t>貸款試算(每月還款金額)</t>
    <phoneticPr fontId="1" type="noConversion"/>
  </si>
  <si>
    <t>購(換)車建議與執行方案</t>
    <phoneticPr fontId="1" type="noConversion"/>
  </si>
  <si>
    <t>公式 = 總負債 ÷ 總資產</t>
    <phoneticPr fontId="1" type="noConversion"/>
  </si>
  <si>
    <t>定期存款</t>
    <phoneticPr fontId="1" type="noConversion"/>
  </si>
  <si>
    <t>其他</t>
    <phoneticPr fontId="1" type="noConversion"/>
  </si>
  <si>
    <t>已備購屋用資金(現值)</t>
    <phoneticPr fontId="1" type="noConversion"/>
  </si>
  <si>
    <t>已備購屋用資金(未來值)</t>
    <phoneticPr fontId="1" type="noConversion"/>
  </si>
  <si>
    <t>社會保險退休金(年金)</t>
    <phoneticPr fontId="1" type="noConversion"/>
  </si>
  <si>
    <t>社會保險退休金(單筆終值)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</si>
</sst>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8" formatCode="&quot;$&quot;#,##0.00;[Red]\-&quot;$&quot;#,##0.00"/>
    <numFmt numFmtId="176" formatCode="&quot;$&quot;#,##0"/>
    <numFmt numFmtId="177" formatCode="#,##0_);[Red]\(#,##0\)"/>
    <numFmt numFmtId="178" formatCode="0.00_ "/>
    <numFmt numFmtId="179" formatCode="&quot;$&quot;#,##0_);[Red]\(&quot;$&quot;#,##0\)"/>
    <numFmt numFmtId="180" formatCode="#,##0_ "/>
    <numFmt numFmtId="181" formatCode="0_ "/>
    <numFmt numFmtId="182" formatCode="#,##0;[Black]#,##0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9" fontId="0" fillId="0" borderId="1" xfId="0" applyNumberFormat="1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 applyProtection="1">
      <alignment vertical="center"/>
      <protection locked="0"/>
    </xf>
    <xf numFmtId="14" fontId="0" fillId="0" borderId="15" xfId="0" applyNumberFormat="1" applyBorder="1" applyProtection="1">
      <alignment vertical="center"/>
      <protection locked="0"/>
    </xf>
    <xf numFmtId="14" fontId="0" fillId="0" borderId="16" xfId="0" applyNumberFormat="1" applyBorder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9" fontId="0" fillId="0" borderId="1" xfId="0" applyNumberFormat="1" applyBorder="1" applyAlignment="1" applyProtection="1">
      <alignment horizontal="center" vertical="center"/>
      <protection locked="0"/>
    </xf>
    <xf numFmtId="9" fontId="0" fillId="0" borderId="18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18" borderId="1" xfId="0" applyFill="1" applyBorder="1" applyAlignment="1" applyProtection="1">
      <alignment horizontal="center" vertical="center"/>
      <protection locked="0"/>
    </xf>
    <xf numFmtId="14" fontId="0" fillId="18" borderId="1" xfId="0" applyNumberFormat="1" applyFill="1" applyBorder="1" applyAlignment="1" applyProtection="1">
      <alignment horizontal="center" vertical="center"/>
      <protection locked="0"/>
    </xf>
    <xf numFmtId="0" fontId="0" fillId="18" borderId="12" xfId="0" applyFill="1" applyBorder="1" applyAlignment="1" applyProtection="1">
      <alignment horizontal="center" vertical="center"/>
      <protection locked="0"/>
    </xf>
    <xf numFmtId="14" fontId="0" fillId="18" borderId="12" xfId="0" applyNumberFormat="1" applyFill="1" applyBorder="1" applyAlignment="1" applyProtection="1">
      <alignment horizontal="center"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9" fontId="0" fillId="0" borderId="12" xfId="0" applyNumberFormat="1" applyBorder="1" applyAlignment="1" applyProtection="1">
      <alignment horizontal="center" vertical="center"/>
      <protection locked="0"/>
    </xf>
    <xf numFmtId="9" fontId="0" fillId="0" borderId="13" xfId="0" applyNumberFormat="1" applyBorder="1" applyAlignment="1" applyProtection="1">
      <alignment horizontal="center" vertical="center"/>
      <protection locked="0"/>
    </xf>
    <xf numFmtId="0" fontId="0" fillId="0" borderId="17" xfId="0" applyBorder="1" applyProtection="1">
      <alignment vertical="center"/>
      <protection locked="0"/>
    </xf>
    <xf numFmtId="176" fontId="0" fillId="0" borderId="18" xfId="0" applyNumberFormat="1" applyBorder="1" applyProtection="1">
      <alignment vertical="center"/>
      <protection locked="0"/>
    </xf>
    <xf numFmtId="179" fontId="0" fillId="0" borderId="18" xfId="0" applyNumberFormat="1" applyBorder="1" applyProtection="1">
      <alignment vertical="center"/>
      <protection locked="0"/>
    </xf>
    <xf numFmtId="179" fontId="0" fillId="8" borderId="12" xfId="0" applyNumberFormat="1" applyFill="1" applyBorder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0" fontId="7" fillId="0" borderId="0" xfId="0" applyFont="1">
      <alignment vertical="center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25" xfId="0" applyNumberFormat="1" applyFill="1" applyBorder="1" applyAlignment="1" applyProtection="1">
      <alignment horizontal="center" vertical="center"/>
      <protection locked="0"/>
    </xf>
    <xf numFmtId="0" fontId="4" fillId="6" borderId="17" xfId="0" applyFont="1" applyFill="1" applyBorder="1" applyAlignment="1" applyProtection="1">
      <alignment horizontal="center" vertical="center"/>
      <protection hidden="1"/>
    </xf>
    <xf numFmtId="0" fontId="4" fillId="5" borderId="17" xfId="0" applyFont="1" applyFill="1" applyBorder="1" applyAlignment="1" applyProtection="1">
      <alignment horizontal="center" vertical="center"/>
      <protection hidden="1"/>
    </xf>
    <xf numFmtId="0" fontId="4" fillId="9" borderId="17" xfId="0" applyFont="1" applyFill="1" applyBorder="1" applyAlignment="1" applyProtection="1">
      <alignment horizontal="center" vertical="center"/>
      <protection hidden="1"/>
    </xf>
    <xf numFmtId="0" fontId="4" fillId="11" borderId="17" xfId="0" applyFont="1" applyFill="1" applyBorder="1" applyAlignment="1" applyProtection="1">
      <alignment horizontal="center" vertical="center"/>
      <protection hidden="1"/>
    </xf>
    <xf numFmtId="0" fontId="4" fillId="11" borderId="11" xfId="0" applyFont="1" applyFill="1" applyBorder="1" applyAlignment="1" applyProtection="1">
      <alignment horizontal="center" vertical="center"/>
      <protection hidden="1"/>
    </xf>
    <xf numFmtId="0" fontId="0" fillId="6" borderId="18" xfId="0" applyFill="1" applyBorder="1" applyAlignment="1" applyProtection="1">
      <alignment horizontal="center" vertical="center"/>
      <protection hidden="1"/>
    </xf>
    <xf numFmtId="0" fontId="0" fillId="5" borderId="18" xfId="0" applyFill="1" applyBorder="1" applyAlignment="1" applyProtection="1">
      <alignment horizontal="center" vertical="center"/>
      <protection hidden="1"/>
    </xf>
    <xf numFmtId="0" fontId="0" fillId="14" borderId="18" xfId="0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hidden="1"/>
    </xf>
    <xf numFmtId="0" fontId="0" fillId="13" borderId="17" xfId="0" applyFill="1" applyBorder="1" applyAlignment="1" applyProtection="1">
      <alignment horizontal="center" vertical="center"/>
      <protection hidden="1"/>
    </xf>
    <xf numFmtId="0" fontId="0" fillId="13" borderId="1" xfId="0" applyFill="1" applyBorder="1" applyProtection="1">
      <alignment vertical="center"/>
      <protection hidden="1"/>
    </xf>
    <xf numFmtId="0" fontId="0" fillId="13" borderId="18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Protection="1">
      <alignment vertical="center"/>
      <protection hidden="1"/>
    </xf>
    <xf numFmtId="0" fontId="0" fillId="4" borderId="1" xfId="0" applyFill="1" applyBorder="1" applyProtection="1">
      <alignment vertical="center"/>
      <protection hidden="1"/>
    </xf>
    <xf numFmtId="0" fontId="0" fillId="4" borderId="18" xfId="0" applyFill="1" applyBorder="1" applyAlignment="1" applyProtection="1">
      <alignment horizontal="center" vertical="center"/>
      <protection hidden="1"/>
    </xf>
    <xf numFmtId="0" fontId="0" fillId="7" borderId="17" xfId="0" applyFill="1" applyBorder="1" applyProtection="1">
      <alignment vertical="center"/>
      <protection hidden="1"/>
    </xf>
    <xf numFmtId="0" fontId="0" fillId="7" borderId="1" xfId="0" applyFill="1" applyBorder="1" applyProtection="1">
      <alignment vertical="center"/>
      <protection hidden="1"/>
    </xf>
    <xf numFmtId="0" fontId="0" fillId="7" borderId="18" xfId="0" applyFill="1" applyBorder="1" applyAlignment="1" applyProtection="1">
      <alignment horizontal="center" vertical="center"/>
      <protection hidden="1"/>
    </xf>
    <xf numFmtId="0" fontId="0" fillId="0" borderId="18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10" borderId="17" xfId="0" applyFill="1" applyBorder="1" applyProtection="1">
      <alignment vertical="center"/>
      <protection hidden="1"/>
    </xf>
    <xf numFmtId="0" fontId="0" fillId="10" borderId="1" xfId="0" applyFill="1" applyBorder="1" applyProtection="1">
      <alignment vertical="center"/>
      <protection hidden="1"/>
    </xf>
    <xf numFmtId="0" fontId="0" fillId="12" borderId="17" xfId="0" applyFill="1" applyBorder="1" applyProtection="1">
      <alignment vertical="center"/>
      <protection hidden="1"/>
    </xf>
    <xf numFmtId="176" fontId="0" fillId="0" borderId="1" xfId="0" applyNumberFormat="1" applyBorder="1" applyProtection="1">
      <alignment vertical="center"/>
      <protection hidden="1"/>
    </xf>
    <xf numFmtId="0" fontId="0" fillId="12" borderId="11" xfId="0" applyFill="1" applyBorder="1" applyProtection="1">
      <alignment vertical="center"/>
      <protection hidden="1"/>
    </xf>
    <xf numFmtId="176" fontId="0" fillId="8" borderId="12" xfId="0" applyNumberFormat="1" applyFill="1" applyBorder="1" applyProtection="1">
      <alignment vertical="center"/>
      <protection hidden="1"/>
    </xf>
    <xf numFmtId="0" fontId="0" fillId="4" borderId="12" xfId="0" applyFill="1" applyBorder="1" applyProtection="1">
      <alignment vertical="center"/>
      <protection hidden="1"/>
    </xf>
    <xf numFmtId="176" fontId="0" fillId="8" borderId="13" xfId="0" applyNumberFormat="1" applyFill="1" applyBorder="1" applyProtection="1">
      <alignment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8" borderId="17" xfId="0" applyFill="1" applyBorder="1" applyProtection="1">
      <alignment vertical="center"/>
      <protection hidden="1"/>
    </xf>
    <xf numFmtId="0" fontId="0" fillId="8" borderId="11" xfId="0" applyFill="1" applyBorder="1" applyProtection="1">
      <alignment vertical="center"/>
      <protection hidden="1"/>
    </xf>
    <xf numFmtId="176" fontId="0" fillId="14" borderId="1" xfId="0" applyNumberFormat="1" applyFill="1" applyBorder="1" applyProtection="1">
      <alignment vertical="center"/>
      <protection hidden="1"/>
    </xf>
    <xf numFmtId="176" fontId="0" fillId="14" borderId="18" xfId="0" applyNumberFormat="1" applyFill="1" applyBorder="1" applyProtection="1">
      <alignment vertical="center"/>
      <protection hidden="1"/>
    </xf>
    <xf numFmtId="179" fontId="0" fillId="14" borderId="1" xfId="0" applyNumberFormat="1" applyFill="1" applyBorder="1" applyProtection="1">
      <alignment vertical="center"/>
      <protection hidden="1"/>
    </xf>
    <xf numFmtId="179" fontId="0" fillId="14" borderId="18" xfId="0" applyNumberFormat="1" applyFill="1" applyBorder="1" applyProtection="1">
      <alignment vertical="center"/>
      <protection hidden="1"/>
    </xf>
    <xf numFmtId="179" fontId="0" fillId="8" borderId="12" xfId="0" applyNumberFormat="1" applyFill="1" applyBorder="1" applyProtection="1">
      <alignment vertical="center"/>
      <protection hidden="1"/>
    </xf>
    <xf numFmtId="179" fontId="0" fillId="8" borderId="13" xfId="0" applyNumberFormat="1" applyFill="1" applyBorder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8" borderId="1" xfId="0" applyFill="1" applyBorder="1" applyProtection="1">
      <alignment vertical="center"/>
      <protection hidden="1"/>
    </xf>
    <xf numFmtId="179" fontId="0" fillId="8" borderId="1" xfId="0" applyNumberFormat="1" applyFill="1" applyBorder="1" applyProtection="1">
      <alignment vertical="center"/>
      <protection hidden="1"/>
    </xf>
    <xf numFmtId="0" fontId="4" fillId="17" borderId="1" xfId="0" applyFont="1" applyFill="1" applyBorder="1" applyAlignment="1" applyProtection="1">
      <alignment horizontal="center" vertical="center"/>
      <protection hidden="1"/>
    </xf>
    <xf numFmtId="0" fontId="4" fillId="14" borderId="1" xfId="0" applyFont="1" applyFill="1" applyBorder="1" applyAlignment="1" applyProtection="1">
      <alignment horizontal="center" vertical="center"/>
      <protection hidden="1"/>
    </xf>
    <xf numFmtId="0" fontId="4" fillId="15" borderId="18" xfId="0" applyFont="1" applyFill="1" applyBorder="1" applyAlignment="1" applyProtection="1">
      <alignment horizontal="center" vertical="center"/>
      <protection hidden="1"/>
    </xf>
    <xf numFmtId="0" fontId="0" fillId="8" borderId="18" xfId="0" applyFill="1" applyBorder="1" applyProtection="1">
      <alignment vertical="center"/>
      <protection hidden="1"/>
    </xf>
    <xf numFmtId="0" fontId="0" fillId="8" borderId="18" xfId="0" applyFill="1" applyBorder="1" applyAlignment="1" applyProtection="1">
      <alignment vertical="center" wrapText="1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19" borderId="1" xfId="0" applyFill="1" applyBorder="1" applyProtection="1">
      <alignment vertical="center"/>
      <protection locked="0"/>
    </xf>
    <xf numFmtId="0" fontId="4" fillId="16" borderId="1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>
      <alignment vertical="center"/>
    </xf>
    <xf numFmtId="0" fontId="0" fillId="2" borderId="1" xfId="0" applyFill="1" applyBorder="1" applyProtection="1">
      <alignment vertical="center"/>
      <protection hidden="1"/>
    </xf>
    <xf numFmtId="177" fontId="0" fillId="0" borderId="1" xfId="0" applyNumberFormat="1" applyBorder="1" applyProtection="1">
      <alignment vertical="center"/>
      <protection hidden="1"/>
    </xf>
    <xf numFmtId="14" fontId="0" fillId="0" borderId="0" xfId="0" applyNumberForma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7" fillId="4" borderId="18" xfId="0" applyFont="1" applyFill="1" applyBorder="1" applyAlignment="1" applyProtection="1">
      <alignment horizontal="center" vertical="center"/>
      <protection hidden="1"/>
    </xf>
    <xf numFmtId="0" fontId="7" fillId="4" borderId="17" xfId="0" applyFont="1" applyFill="1" applyBorder="1" applyProtection="1">
      <alignment vertical="center"/>
      <protection hidden="1"/>
    </xf>
    <xf numFmtId="0" fontId="9" fillId="9" borderId="17" xfId="0" applyFont="1" applyFill="1" applyBorder="1" applyProtection="1">
      <alignment vertical="center"/>
      <protection hidden="1"/>
    </xf>
    <xf numFmtId="179" fontId="7" fillId="0" borderId="1" xfId="0" applyNumberFormat="1" applyFont="1" applyBorder="1">
      <alignment vertical="center"/>
    </xf>
    <xf numFmtId="0" fontId="7" fillId="9" borderId="1" xfId="0" applyFont="1" applyFill="1" applyBorder="1" applyProtection="1">
      <alignment vertical="center"/>
      <protection hidden="1"/>
    </xf>
    <xf numFmtId="0" fontId="7" fillId="0" borderId="1" xfId="0" applyFont="1" applyBorder="1">
      <alignment vertical="center"/>
    </xf>
    <xf numFmtId="176" fontId="7" fillId="9" borderId="18" xfId="0" applyNumberFormat="1" applyFont="1" applyFill="1" applyBorder="1" applyProtection="1">
      <alignment vertical="center"/>
      <protection hidden="1"/>
    </xf>
    <xf numFmtId="176" fontId="7" fillId="0" borderId="0" xfId="0" applyNumberFormat="1" applyFont="1">
      <alignment vertical="center"/>
    </xf>
    <xf numFmtId="0" fontId="7" fillId="9" borderId="17" xfId="0" applyFont="1" applyFill="1" applyBorder="1" applyProtection="1">
      <alignment vertical="center"/>
      <protection hidden="1"/>
    </xf>
    <xf numFmtId="176" fontId="7" fillId="0" borderId="18" xfId="0" applyNumberFormat="1" applyFont="1" applyBorder="1">
      <alignment vertical="center"/>
    </xf>
    <xf numFmtId="0" fontId="9" fillId="9" borderId="17" xfId="0" applyFont="1" applyFill="1" applyBorder="1" applyAlignment="1" applyProtection="1">
      <alignment horizontal="left" vertical="center"/>
      <protection hidden="1"/>
    </xf>
    <xf numFmtId="0" fontId="9" fillId="0" borderId="17" xfId="0" applyFont="1" applyBorder="1">
      <alignment vertical="center"/>
    </xf>
    <xf numFmtId="0" fontId="7" fillId="0" borderId="1" xfId="0" applyFont="1" applyBorder="1" applyProtection="1">
      <alignment vertical="center"/>
      <protection hidden="1"/>
    </xf>
    <xf numFmtId="176" fontId="7" fillId="2" borderId="18" xfId="0" applyNumberFormat="1" applyFont="1" applyFill="1" applyBorder="1" applyProtection="1">
      <alignment vertical="center"/>
      <protection hidden="1"/>
    </xf>
    <xf numFmtId="0" fontId="9" fillId="9" borderId="11" xfId="0" applyFont="1" applyFill="1" applyBorder="1" applyAlignment="1" applyProtection="1">
      <alignment horizontal="left" vertical="center"/>
      <protection hidden="1"/>
    </xf>
    <xf numFmtId="0" fontId="7" fillId="9" borderId="11" xfId="0" applyFont="1" applyFill="1" applyBorder="1" applyProtection="1">
      <alignment vertical="center"/>
      <protection hidden="1"/>
    </xf>
    <xf numFmtId="176" fontId="7" fillId="2" borderId="13" xfId="0" applyNumberFormat="1" applyFont="1" applyFill="1" applyBorder="1" applyProtection="1">
      <alignment vertical="center"/>
      <protection hidden="1"/>
    </xf>
    <xf numFmtId="0" fontId="9" fillId="0" borderId="0" xfId="0" applyFont="1" applyAlignment="1">
      <alignment horizontal="left" vertical="center"/>
    </xf>
    <xf numFmtId="176" fontId="7" fillId="0" borderId="1" xfId="0" applyNumberFormat="1" applyFont="1" applyBorder="1">
      <alignment vertical="center"/>
    </xf>
    <xf numFmtId="180" fontId="7" fillId="0" borderId="1" xfId="0" applyNumberFormat="1" applyFont="1" applyBorder="1">
      <alignment vertical="center"/>
    </xf>
    <xf numFmtId="180" fontId="7" fillId="0" borderId="1" xfId="0" applyNumberFormat="1" applyFont="1" applyBorder="1" applyProtection="1">
      <alignment vertical="center"/>
      <protection hidden="1"/>
    </xf>
    <xf numFmtId="180" fontId="7" fillId="0" borderId="0" xfId="0" applyNumberFormat="1" applyFont="1">
      <alignment vertical="center"/>
    </xf>
    <xf numFmtId="176" fontId="7" fillId="4" borderId="18" xfId="0" applyNumberFormat="1" applyFont="1" applyFill="1" applyBorder="1" applyAlignment="1" applyProtection="1">
      <alignment horizontal="center" vertical="center"/>
      <protection hidden="1"/>
    </xf>
    <xf numFmtId="176" fontId="7" fillId="9" borderId="1" xfId="0" applyNumberFormat="1" applyFont="1" applyFill="1" applyBorder="1" applyProtection="1">
      <alignment vertical="center"/>
      <protection hidden="1"/>
    </xf>
    <xf numFmtId="0" fontId="7" fillId="9" borderId="18" xfId="0" applyFont="1" applyFill="1" applyBorder="1" applyProtection="1">
      <alignment vertical="center"/>
      <protection hidden="1"/>
    </xf>
    <xf numFmtId="0" fontId="7" fillId="0" borderId="18" xfId="0" applyFont="1" applyBorder="1">
      <alignment vertical="center"/>
    </xf>
    <xf numFmtId="176" fontId="7" fillId="2" borderId="12" xfId="0" applyNumberFormat="1" applyFont="1" applyFill="1" applyBorder="1" applyProtection="1">
      <alignment vertical="center"/>
      <protection hidden="1"/>
    </xf>
    <xf numFmtId="0" fontId="0" fillId="19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3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Protection="1">
      <alignment vertical="center"/>
      <protection locked="0"/>
    </xf>
    <xf numFmtId="0" fontId="0" fillId="9" borderId="1" xfId="0" applyFill="1" applyBorder="1" applyProtection="1">
      <alignment vertical="center"/>
      <protection hidden="1"/>
    </xf>
    <xf numFmtId="177" fontId="0" fillId="2" borderId="1" xfId="0" applyNumberFormat="1" applyFill="1" applyBorder="1" applyProtection="1">
      <alignment vertical="center"/>
      <protection hidden="1"/>
    </xf>
    <xf numFmtId="0" fontId="0" fillId="9" borderId="17" xfId="0" applyFill="1" applyBorder="1" applyProtection="1">
      <alignment vertical="center"/>
      <protection hidden="1"/>
    </xf>
    <xf numFmtId="0" fontId="0" fillId="9" borderId="11" xfId="0" applyFill="1" applyBorder="1" applyProtection="1">
      <alignment vertical="center"/>
      <protection hidden="1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8" xfId="0" applyFill="1" applyBorder="1" applyAlignment="1">
      <alignment horizontal="center" vertical="center"/>
    </xf>
    <xf numFmtId="0" fontId="0" fillId="9" borderId="17" xfId="0" applyFill="1" applyBorder="1">
      <alignment vertical="center"/>
    </xf>
    <xf numFmtId="176" fontId="0" fillId="0" borderId="18" xfId="0" applyNumberFormat="1" applyBorder="1">
      <alignment vertical="center"/>
    </xf>
    <xf numFmtId="176" fontId="0" fillId="2" borderId="18" xfId="0" applyNumberFormat="1" applyFill="1" applyBorder="1">
      <alignment vertical="center"/>
    </xf>
    <xf numFmtId="0" fontId="0" fillId="9" borderId="11" xfId="0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9" fontId="0" fillId="0" borderId="1" xfId="0" applyNumberFormat="1" applyBorder="1">
      <alignment vertical="center"/>
    </xf>
    <xf numFmtId="179" fontId="0" fillId="2" borderId="1" xfId="0" applyNumberFormat="1" applyFill="1" applyBorder="1">
      <alignment vertical="center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 shrinkToFit="1"/>
      <protection hidden="1"/>
    </xf>
    <xf numFmtId="0" fontId="4" fillId="4" borderId="18" xfId="0" applyFont="1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4" fillId="8" borderId="8" xfId="0" applyFont="1" applyFill="1" applyBorder="1" applyAlignment="1" applyProtection="1">
      <alignment horizontal="center" vertical="center" wrapText="1"/>
      <protection hidden="1"/>
    </xf>
    <xf numFmtId="0" fontId="4" fillId="12" borderId="17" xfId="0" applyFont="1" applyFill="1" applyBorder="1" applyAlignment="1" applyProtection="1">
      <alignment horizontal="center" vertical="center" wrapText="1"/>
      <protection hidden="1"/>
    </xf>
    <xf numFmtId="0" fontId="4" fillId="12" borderId="11" xfId="0" applyFont="1" applyFill="1" applyBorder="1" applyAlignment="1" applyProtection="1">
      <alignment horizontal="center" vertical="center" wrapText="1"/>
      <protection hidden="1"/>
    </xf>
    <xf numFmtId="9" fontId="0" fillId="0" borderId="1" xfId="0" applyNumberFormat="1" applyBorder="1">
      <alignment vertical="center"/>
    </xf>
    <xf numFmtId="9" fontId="0" fillId="0" borderId="18" xfId="0" applyNumberFormat="1" applyBorder="1">
      <alignment vertical="center"/>
    </xf>
    <xf numFmtId="0" fontId="0" fillId="17" borderId="1" xfId="0" applyFill="1" applyBorder="1" applyAlignment="1" applyProtection="1">
      <alignment horizontal="center" vertical="center"/>
      <protection locked="0"/>
    </xf>
    <xf numFmtId="0" fontId="0" fillId="14" borderId="1" xfId="0" applyFill="1" applyBorder="1" applyProtection="1">
      <alignment vertical="center"/>
      <protection locked="0"/>
    </xf>
    <xf numFmtId="10" fontId="0" fillId="0" borderId="1" xfId="0" applyNumberFormat="1" applyBorder="1" applyProtection="1">
      <alignment vertical="center"/>
      <protection locked="0"/>
    </xf>
    <xf numFmtId="181" fontId="0" fillId="0" borderId="1" xfId="0" applyNumberFormat="1" applyBorder="1" applyAlignment="1" applyProtection="1">
      <alignment horizontal="right" vertical="center"/>
      <protection locked="0"/>
    </xf>
    <xf numFmtId="6" fontId="0" fillId="2" borderId="1" xfId="0" applyNumberFormat="1" applyFill="1" applyBorder="1" applyProtection="1">
      <alignment vertical="center"/>
      <protection locked="0"/>
    </xf>
    <xf numFmtId="182" fontId="2" fillId="0" borderId="0" xfId="0" applyNumberFormat="1" applyFont="1" applyProtection="1">
      <alignment vertical="center"/>
      <protection hidden="1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4" fillId="8" borderId="9" xfId="0" applyFont="1" applyFill="1" applyBorder="1" applyAlignment="1" applyProtection="1">
      <alignment horizontal="center" vertical="center"/>
      <protection hidden="1"/>
    </xf>
    <xf numFmtId="0" fontId="4" fillId="8" borderId="1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8" xfId="0" applyNumberFormat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179" fontId="0" fillId="8" borderId="1" xfId="0" applyNumberFormat="1" applyFill="1" applyBorder="1" applyAlignment="1" applyProtection="1">
      <alignment horizontal="center" vertical="center"/>
      <protection hidden="1"/>
    </xf>
    <xf numFmtId="0" fontId="0" fillId="8" borderId="18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32" xfId="0" applyFill="1" applyBorder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31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33" xfId="0" applyFill="1" applyBorder="1" applyAlignment="1" applyProtection="1">
      <alignment horizontal="center" vertical="center"/>
      <protection hidden="1"/>
    </xf>
    <xf numFmtId="0" fontId="0" fillId="12" borderId="17" xfId="0" applyFill="1" applyBorder="1" applyAlignment="1" applyProtection="1">
      <alignment horizontal="center" vertic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176" fontId="0" fillId="8" borderId="1" xfId="0" applyNumberFormat="1" applyFill="1" applyBorder="1" applyAlignment="1" applyProtection="1">
      <alignment horizontal="center" vertical="center"/>
      <protection hidden="1"/>
    </xf>
    <xf numFmtId="176" fontId="0" fillId="8" borderId="18" xfId="0" applyNumberFormat="1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30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18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18" xfId="0" applyFill="1" applyBorder="1" applyAlignment="1" applyProtection="1">
      <alignment horizontal="center" vertical="center"/>
      <protection hidden="1"/>
    </xf>
    <xf numFmtId="0" fontId="2" fillId="12" borderId="17" xfId="0" applyFont="1" applyFill="1" applyBorder="1" applyAlignment="1" applyProtection="1">
      <alignment horizontal="center" vertical="center"/>
      <protection hidden="1"/>
    </xf>
    <xf numFmtId="0" fontId="2" fillId="12" borderId="1" xfId="0" applyFont="1" applyFill="1" applyBorder="1" applyAlignment="1" applyProtection="1">
      <alignment horizontal="center" vertical="center"/>
      <protection hidden="1"/>
    </xf>
    <xf numFmtId="0" fontId="0" fillId="8" borderId="9" xfId="0" applyFill="1" applyBorder="1" applyAlignment="1" applyProtection="1">
      <alignment horizontal="center" vertical="center" wrapText="1"/>
      <protection hidden="1"/>
    </xf>
    <xf numFmtId="0" fontId="0" fillId="8" borderId="10" xfId="0" applyFill="1" applyBorder="1" applyAlignment="1" applyProtection="1">
      <alignment horizontal="center" vertical="center" wrapText="1"/>
      <protection hidden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178" fontId="0" fillId="0" borderId="21" xfId="0" applyNumberFormat="1" applyBorder="1" applyAlignment="1">
      <alignment horizontal="left" vertical="center"/>
    </xf>
    <xf numFmtId="178" fontId="0" fillId="0" borderId="22" xfId="0" applyNumberFormat="1" applyBorder="1" applyAlignment="1">
      <alignment horizontal="left" vertical="center"/>
    </xf>
    <xf numFmtId="178" fontId="0" fillId="0" borderId="23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8" fontId="0" fillId="8" borderId="1" xfId="0" applyNumberFormat="1" applyFill="1" applyBorder="1" applyAlignment="1" applyProtection="1">
      <alignment horizontal="center" vertical="center"/>
      <protection hidden="1"/>
    </xf>
    <xf numFmtId="178" fontId="0" fillId="8" borderId="18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8" borderId="2" xfId="0" applyFill="1" applyBorder="1" applyAlignment="1" applyProtection="1">
      <alignment horizontal="center" vertical="center"/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0" fontId="0" fillId="8" borderId="20" xfId="0" applyFill="1" applyBorder="1" applyAlignment="1" applyProtection="1">
      <alignment horizontal="center" vertical="center"/>
      <protection hidden="1"/>
    </xf>
    <xf numFmtId="0" fontId="4" fillId="10" borderId="8" xfId="0" applyFont="1" applyFill="1" applyBorder="1" applyAlignment="1" applyProtection="1">
      <alignment horizontal="center" vertical="center"/>
      <protection hidden="1"/>
    </xf>
    <xf numFmtId="0" fontId="4" fillId="10" borderId="9" xfId="0" applyFont="1" applyFill="1" applyBorder="1" applyAlignment="1" applyProtection="1">
      <alignment horizontal="center" vertical="center"/>
      <protection hidden="1"/>
    </xf>
    <xf numFmtId="0" fontId="4" fillId="10" borderId="10" xfId="0" applyFont="1" applyFill="1" applyBorder="1" applyAlignment="1" applyProtection="1">
      <alignment horizontal="center" vertical="center"/>
      <protection hidden="1"/>
    </xf>
    <xf numFmtId="10" fontId="0" fillId="17" borderId="1" xfId="0" applyNumberFormat="1" applyFill="1" applyBorder="1" applyAlignment="1" applyProtection="1">
      <alignment horizontal="center" vertical="center"/>
      <protection hidden="1"/>
    </xf>
    <xf numFmtId="0" fontId="0" fillId="17" borderId="1" xfId="0" applyFill="1" applyBorder="1" applyAlignment="1" applyProtection="1">
      <alignment horizontal="center" vertical="center"/>
      <protection hidden="1"/>
    </xf>
    <xf numFmtId="178" fontId="0" fillId="17" borderId="1" xfId="0" applyNumberFormat="1" applyFill="1" applyBorder="1" applyAlignment="1" applyProtection="1">
      <alignment horizontal="center" vertical="center"/>
      <protection hidden="1"/>
    </xf>
    <xf numFmtId="178" fontId="0" fillId="17" borderId="12" xfId="0" applyNumberFormat="1" applyFill="1" applyBorder="1" applyAlignment="1" applyProtection="1">
      <alignment horizontal="center" vertical="center"/>
      <protection hidden="1"/>
    </xf>
    <xf numFmtId="0" fontId="0" fillId="14" borderId="1" xfId="0" applyFill="1" applyBorder="1" applyAlignment="1" applyProtection="1">
      <alignment horizontal="center" vertical="center"/>
      <protection hidden="1"/>
    </xf>
    <xf numFmtId="0" fontId="0" fillId="14" borderId="12" xfId="0" applyFill="1" applyBorder="1" applyAlignment="1" applyProtection="1">
      <alignment horizontal="center" vertical="center"/>
      <protection hidden="1"/>
    </xf>
    <xf numFmtId="0" fontId="4" fillId="8" borderId="17" xfId="0" applyFont="1" applyFill="1" applyBorder="1" applyAlignment="1" applyProtection="1">
      <alignment horizontal="center" vertical="center"/>
      <protection hidden="1"/>
    </xf>
    <xf numFmtId="0" fontId="4" fillId="8" borderId="11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176" fontId="7" fillId="2" borderId="21" xfId="0" applyNumberFormat="1" applyFont="1" applyFill="1" applyBorder="1" applyAlignment="1" applyProtection="1">
      <alignment horizontal="center" vertical="center"/>
      <protection hidden="1"/>
    </xf>
    <xf numFmtId="176" fontId="7" fillId="2" borderId="22" xfId="0" applyNumberFormat="1" applyFont="1" applyFill="1" applyBorder="1" applyAlignment="1" applyProtection="1">
      <alignment horizontal="center" vertical="center"/>
      <protection hidden="1"/>
    </xf>
    <xf numFmtId="176" fontId="7" fillId="2" borderId="23" xfId="0" applyNumberFormat="1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25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8" borderId="3" xfId="0" applyFill="1" applyBorder="1" applyAlignment="1" applyProtection="1">
      <alignment horizontal="center" vertical="center" wrapText="1"/>
      <protection locked="0"/>
    </xf>
    <xf numFmtId="0" fontId="0" fillId="8" borderId="25" xfId="0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/>
      <protection hidden="1"/>
    </xf>
    <xf numFmtId="0" fontId="0" fillId="8" borderId="8" xfId="0" applyFill="1" applyBorder="1" applyAlignment="1" applyProtection="1">
      <alignment horizontal="center" vertical="center"/>
      <protection hidden="1"/>
    </xf>
    <xf numFmtId="0" fontId="0" fillId="8" borderId="9" xfId="0" applyFill="1" applyBorder="1" applyAlignment="1" applyProtection="1">
      <alignment horizontal="center" vertical="center"/>
      <protection hidden="1"/>
    </xf>
    <xf numFmtId="0" fontId="0" fillId="8" borderId="10" xfId="0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zoomScale="70" zoomScaleNormal="70" workbookViewId="0">
      <selection activeCell="D21" sqref="D21"/>
    </sheetView>
  </sheetViews>
  <sheetFormatPr defaultColWidth="8.75" defaultRowHeight="16.5"/>
  <cols>
    <col min="1" max="1" width="23.125" style="6" customWidth="1"/>
    <col min="2" max="2" width="15.5" style="6" customWidth="1"/>
    <col min="3" max="3" width="13.375" style="6" customWidth="1"/>
    <col min="4" max="4" width="16.625" style="6" customWidth="1"/>
    <col min="5" max="5" width="14.375" style="6" customWidth="1"/>
    <col min="6" max="6" width="16.875" style="6" customWidth="1"/>
    <col min="7" max="7" width="15.125" style="6" customWidth="1"/>
    <col min="8" max="8" width="18.125" style="6" customWidth="1"/>
    <col min="9" max="9" width="17" style="6" customWidth="1"/>
    <col min="10" max="10" width="12.875" style="6" customWidth="1"/>
    <col min="11" max="11" width="13.875" style="6" customWidth="1"/>
    <col min="12" max="12" width="32.125" style="6" customWidth="1"/>
    <col min="13" max="13" width="14.125" style="6" customWidth="1"/>
    <col min="14" max="14" width="15.875" style="6" customWidth="1"/>
    <col min="15" max="15" width="13.125" style="6" customWidth="1"/>
    <col min="16" max="16" width="13.625" style="6" customWidth="1"/>
    <col min="17" max="16384" width="8.75" style="6"/>
  </cols>
  <sheetData>
    <row r="1" spans="1:8">
      <c r="A1" s="26" t="s">
        <v>59</v>
      </c>
      <c r="B1" s="15"/>
      <c r="C1" s="15"/>
      <c r="D1" s="16">
        <v>43001</v>
      </c>
      <c r="E1" s="17"/>
      <c r="F1" s="102"/>
    </row>
    <row r="2" spans="1:8">
      <c r="A2" s="180" t="s">
        <v>0</v>
      </c>
      <c r="B2" s="181"/>
      <c r="C2" s="181"/>
      <c r="D2" s="181"/>
      <c r="E2" s="182"/>
      <c r="F2" s="103"/>
    </row>
    <row r="3" spans="1:8">
      <c r="A3" s="75"/>
      <c r="B3" s="161" t="s">
        <v>5</v>
      </c>
      <c r="C3" s="161" t="s">
        <v>6</v>
      </c>
      <c r="D3" s="162" t="s">
        <v>60</v>
      </c>
      <c r="E3" s="163" t="s">
        <v>4</v>
      </c>
      <c r="F3" s="103"/>
    </row>
    <row r="4" spans="1:8">
      <c r="A4" s="42" t="s">
        <v>298</v>
      </c>
      <c r="B4" s="22" t="s">
        <v>223</v>
      </c>
      <c r="C4" s="22" t="s">
        <v>198</v>
      </c>
      <c r="D4" s="23">
        <v>29952</v>
      </c>
      <c r="E4" s="47">
        <f>DATEDIF(D4,D1,"Y")</f>
        <v>35</v>
      </c>
      <c r="F4" s="104"/>
    </row>
    <row r="5" spans="1:8">
      <c r="A5" s="43" t="s">
        <v>1</v>
      </c>
      <c r="B5" s="22" t="s">
        <v>224</v>
      </c>
      <c r="C5" s="22" t="s">
        <v>199</v>
      </c>
      <c r="D5" s="23">
        <v>30317</v>
      </c>
      <c r="E5" s="48">
        <f>DATEDIF(D5,D1,"Y")</f>
        <v>34</v>
      </c>
      <c r="F5" s="104"/>
    </row>
    <row r="6" spans="1:8">
      <c r="A6" s="44" t="s">
        <v>3</v>
      </c>
      <c r="B6" s="22" t="s">
        <v>211</v>
      </c>
      <c r="C6" s="22" t="s">
        <v>198</v>
      </c>
      <c r="D6" s="23">
        <v>18264</v>
      </c>
      <c r="E6" s="49">
        <f>DATEDIF(D6,D1,"Y")</f>
        <v>67</v>
      </c>
      <c r="F6" s="104"/>
      <c r="G6"/>
    </row>
    <row r="7" spans="1:8">
      <c r="A7" s="44"/>
      <c r="B7" s="22" t="s">
        <v>212</v>
      </c>
      <c r="C7" s="22" t="s">
        <v>199</v>
      </c>
      <c r="D7" s="23">
        <v>18629</v>
      </c>
      <c r="E7" s="49">
        <f>DATEDIF(D7,D1,"Y")</f>
        <v>66</v>
      </c>
      <c r="F7" s="104"/>
    </row>
    <row r="8" spans="1:8">
      <c r="A8" s="45" t="s">
        <v>2</v>
      </c>
      <c r="B8" s="22" t="s">
        <v>213</v>
      </c>
      <c r="C8" s="22" t="s">
        <v>198</v>
      </c>
      <c r="D8" s="23">
        <v>38353</v>
      </c>
      <c r="E8" s="47">
        <f>DATEDIF(D8,D1,"Y")</f>
        <v>12</v>
      </c>
      <c r="F8" s="104"/>
    </row>
    <row r="9" spans="1:8">
      <c r="A9" s="45"/>
      <c r="B9" s="22" t="s">
        <v>214</v>
      </c>
      <c r="C9" s="22" t="s">
        <v>199</v>
      </c>
      <c r="D9" s="23">
        <v>39448</v>
      </c>
      <c r="E9" s="47">
        <f>DATEDIF(D9,D1,"Y")</f>
        <v>9</v>
      </c>
      <c r="F9" s="104"/>
    </row>
    <row r="10" spans="1:8" ht="17.25" thickBot="1">
      <c r="A10" s="46"/>
      <c r="B10" s="24"/>
      <c r="C10" s="24"/>
      <c r="D10" s="25"/>
      <c r="E10" s="96"/>
      <c r="F10" s="104"/>
    </row>
    <row r="11" spans="1:8" ht="17.25" thickBot="1"/>
    <row r="12" spans="1:8" ht="27" customHeight="1">
      <c r="A12" s="167" t="s">
        <v>205</v>
      </c>
      <c r="B12" s="184" t="s">
        <v>206</v>
      </c>
      <c r="C12" s="184"/>
      <c r="D12" s="184"/>
      <c r="E12" s="184"/>
      <c r="F12" s="184"/>
      <c r="G12" s="184"/>
      <c r="H12" s="185"/>
    </row>
    <row r="13" spans="1:8" ht="33.950000000000003" customHeight="1">
      <c r="A13" s="168" t="s">
        <v>202</v>
      </c>
      <c r="B13" s="186" t="s">
        <v>234</v>
      </c>
      <c r="C13" s="186"/>
      <c r="D13" s="186"/>
      <c r="E13" s="186"/>
      <c r="F13" s="186"/>
      <c r="G13" s="186"/>
      <c r="H13" s="187"/>
    </row>
    <row r="14" spans="1:8" ht="33.950000000000003" customHeight="1">
      <c r="A14" s="168" t="s">
        <v>203</v>
      </c>
      <c r="B14" s="186" t="s">
        <v>216</v>
      </c>
      <c r="C14" s="186"/>
      <c r="D14" s="186"/>
      <c r="E14" s="186"/>
      <c r="F14" s="186"/>
      <c r="G14" s="186"/>
      <c r="H14" s="187"/>
    </row>
    <row r="15" spans="1:8" ht="54" customHeight="1">
      <c r="A15" s="168" t="s">
        <v>204</v>
      </c>
      <c r="B15" s="188" t="s">
        <v>217</v>
      </c>
      <c r="C15" s="188"/>
      <c r="D15" s="188"/>
      <c r="E15" s="188"/>
      <c r="F15" s="188"/>
      <c r="G15" s="188"/>
      <c r="H15" s="189"/>
    </row>
    <row r="16" spans="1:8" ht="35.1" customHeight="1" thickBot="1">
      <c r="A16" s="169" t="s">
        <v>207</v>
      </c>
      <c r="B16" s="178" t="s">
        <v>221</v>
      </c>
      <c r="C16" s="178"/>
      <c r="D16" s="178"/>
      <c r="E16" s="178"/>
      <c r="F16" s="178"/>
      <c r="G16" s="178"/>
      <c r="H16" s="179"/>
    </row>
    <row r="17" spans="1:8" ht="17.25" thickBot="1"/>
    <row r="18" spans="1:8">
      <c r="A18" s="51" t="s">
        <v>215</v>
      </c>
      <c r="B18" s="52" t="s">
        <v>65</v>
      </c>
      <c r="C18" s="53" t="s">
        <v>69</v>
      </c>
      <c r="D18" s="53" t="s">
        <v>70</v>
      </c>
      <c r="E18" s="53" t="s">
        <v>71</v>
      </c>
      <c r="F18" s="53" t="s">
        <v>299</v>
      </c>
      <c r="G18" s="53" t="s">
        <v>72</v>
      </c>
      <c r="H18" s="54" t="s">
        <v>302</v>
      </c>
    </row>
    <row r="19" spans="1:8">
      <c r="A19" s="164" t="str">
        <f>B4</f>
        <v>S先生</v>
      </c>
      <c r="B19" s="27">
        <v>65</v>
      </c>
      <c r="C19" s="85">
        <f>G19-B19</f>
        <v>25</v>
      </c>
      <c r="D19" s="19">
        <v>0.03</v>
      </c>
      <c r="E19" s="19">
        <v>0.06</v>
      </c>
      <c r="F19" s="19">
        <v>0.03</v>
      </c>
      <c r="G19" s="9">
        <v>90</v>
      </c>
      <c r="H19" s="20">
        <v>0.1</v>
      </c>
    </row>
    <row r="20" spans="1:8" ht="17.25" thickBot="1">
      <c r="A20" s="165" t="str">
        <f>B5</f>
        <v>Y小姐</v>
      </c>
      <c r="B20" s="28">
        <v>65</v>
      </c>
      <c r="C20" s="166">
        <f>G20-B20</f>
        <v>25</v>
      </c>
      <c r="D20" s="29">
        <v>0.03</v>
      </c>
      <c r="E20" s="29">
        <v>0.06</v>
      </c>
      <c r="F20" s="29">
        <v>0.03</v>
      </c>
      <c r="G20" s="21">
        <v>90</v>
      </c>
      <c r="H20" s="30">
        <v>0.1</v>
      </c>
    </row>
    <row r="28" spans="1:8">
      <c r="G28"/>
    </row>
    <row r="42" spans="1:4">
      <c r="A42" s="183"/>
      <c r="B42" s="183"/>
      <c r="C42" s="183"/>
      <c r="D42" s="183"/>
    </row>
    <row r="43" spans="1:4">
      <c r="D43" s="11"/>
    </row>
  </sheetData>
  <sheetProtection selectLockedCells="1"/>
  <mergeCells count="7">
    <mergeCell ref="B16:H16"/>
    <mergeCell ref="A2:E2"/>
    <mergeCell ref="A42:D42"/>
    <mergeCell ref="B12:H12"/>
    <mergeCell ref="B13:H13"/>
    <mergeCell ref="B14:H14"/>
    <mergeCell ref="B15:H15"/>
  </mergeCells>
  <phoneticPr fontId="1" type="noConversion"/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參數表!$A$3:$A$4</xm:f>
          </x14:formula1>
          <xm:sqref>C4:C10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4"/>
  <sheetViews>
    <sheetView topLeftCell="B1" zoomScale="70" zoomScaleNormal="70" workbookViewId="0">
      <selection activeCell="D30" sqref="D30"/>
    </sheetView>
  </sheetViews>
  <sheetFormatPr defaultRowHeight="16.5"/>
  <cols>
    <col min="1" max="1" width="12.875" customWidth="1"/>
    <col min="2" max="2" width="26.75" customWidth="1"/>
    <col min="3" max="3" width="11.375" customWidth="1"/>
    <col min="4" max="4" width="35.875" customWidth="1"/>
    <col min="5" max="5" width="3.875" customWidth="1"/>
    <col min="6" max="6" width="35.5" customWidth="1"/>
    <col min="7" max="7" width="24" customWidth="1"/>
    <col min="8" max="8" width="23.125" customWidth="1"/>
  </cols>
  <sheetData>
    <row r="1" spans="1:8">
      <c r="A1" s="190" t="s">
        <v>292</v>
      </c>
      <c r="B1" s="191"/>
      <c r="C1" s="191"/>
      <c r="D1" s="192"/>
      <c r="F1" s="190" t="s">
        <v>294</v>
      </c>
      <c r="G1" s="191"/>
      <c r="H1" s="192"/>
    </row>
    <row r="2" spans="1:8">
      <c r="A2" s="67" t="s">
        <v>9</v>
      </c>
      <c r="B2" s="68"/>
      <c r="C2" s="207" t="s">
        <v>10</v>
      </c>
      <c r="D2" s="208"/>
      <c r="F2" s="75" t="s">
        <v>157</v>
      </c>
      <c r="G2" s="76" t="s">
        <v>152</v>
      </c>
      <c r="H2" s="61" t="s">
        <v>153</v>
      </c>
    </row>
    <row r="3" spans="1:8">
      <c r="A3" s="201" t="s">
        <v>98</v>
      </c>
      <c r="B3" s="202"/>
      <c r="C3" s="205" t="s">
        <v>97</v>
      </c>
      <c r="D3" s="206"/>
      <c r="F3" s="77" t="s">
        <v>146</v>
      </c>
      <c r="G3" s="79">
        <f>H3*12</f>
        <v>0</v>
      </c>
      <c r="H3" s="32"/>
    </row>
    <row r="4" spans="1:8">
      <c r="A4" s="69" t="s">
        <v>99</v>
      </c>
      <c r="B4" s="8"/>
      <c r="C4" s="197" t="s">
        <v>142</v>
      </c>
      <c r="D4" s="198"/>
      <c r="F4" s="77" t="s">
        <v>147</v>
      </c>
      <c r="G4" s="79">
        <f>H4*12</f>
        <v>0</v>
      </c>
      <c r="H4" s="32"/>
    </row>
    <row r="5" spans="1:8">
      <c r="A5" s="69" t="s">
        <v>100</v>
      </c>
      <c r="B5" s="8"/>
      <c r="C5" s="203">
        <f>G11</f>
        <v>0</v>
      </c>
      <c r="D5" s="204"/>
      <c r="F5" s="77" t="s">
        <v>148</v>
      </c>
      <c r="G5" s="79">
        <f>H5*12</f>
        <v>0</v>
      </c>
      <c r="H5" s="32"/>
    </row>
    <row r="6" spans="1:8">
      <c r="A6" s="69" t="s">
        <v>138</v>
      </c>
      <c r="B6" s="8"/>
      <c r="C6" s="195" t="s">
        <v>140</v>
      </c>
      <c r="D6" s="196"/>
      <c r="F6" s="77" t="s">
        <v>149</v>
      </c>
      <c r="G6" s="8"/>
      <c r="H6" s="80">
        <f>G6/12</f>
        <v>0</v>
      </c>
    </row>
    <row r="7" spans="1:8">
      <c r="A7" s="69"/>
      <c r="B7" s="8"/>
      <c r="C7" s="199" t="s">
        <v>143</v>
      </c>
      <c r="D7" s="200"/>
      <c r="F7" s="77" t="s">
        <v>150</v>
      </c>
      <c r="G7" s="79">
        <f>H7*12</f>
        <v>0</v>
      </c>
      <c r="H7" s="32"/>
    </row>
    <row r="8" spans="1:8">
      <c r="A8" s="201" t="s">
        <v>7</v>
      </c>
      <c r="B8" s="202"/>
      <c r="C8" s="203">
        <f>G21</f>
        <v>0</v>
      </c>
      <c r="D8" s="204"/>
      <c r="F8" s="77" t="s">
        <v>151</v>
      </c>
      <c r="G8" s="8"/>
      <c r="H8" s="80">
        <f>G8/12</f>
        <v>0</v>
      </c>
    </row>
    <row r="9" spans="1:8">
      <c r="A9" s="69" t="s">
        <v>13</v>
      </c>
      <c r="B9" s="70"/>
      <c r="C9" s="195" t="s">
        <v>144</v>
      </c>
      <c r="D9" s="196"/>
      <c r="F9" s="77" t="s">
        <v>180</v>
      </c>
      <c r="G9" s="79">
        <f>H9*12</f>
        <v>0</v>
      </c>
      <c r="H9" s="32"/>
    </row>
    <row r="10" spans="1:8">
      <c r="A10" s="69" t="s">
        <v>14</v>
      </c>
      <c r="B10" s="70"/>
      <c r="C10" s="199" t="s">
        <v>145</v>
      </c>
      <c r="D10" s="200"/>
      <c r="F10" s="77" t="s">
        <v>154</v>
      </c>
      <c r="G10" s="8"/>
      <c r="H10" s="80">
        <f>G10/12</f>
        <v>0</v>
      </c>
    </row>
    <row r="11" spans="1:8" ht="17.25" thickBot="1">
      <c r="A11" s="69" t="s">
        <v>139</v>
      </c>
      <c r="B11" s="70"/>
      <c r="C11" s="193">
        <f>G32</f>
        <v>0</v>
      </c>
      <c r="D11" s="194"/>
      <c r="F11" s="78" t="s">
        <v>155</v>
      </c>
      <c r="G11" s="72">
        <f>SUM(G3:G10)</f>
        <v>0</v>
      </c>
      <c r="H11" s="74">
        <f>SUM(H3:H10)</f>
        <v>0</v>
      </c>
    </row>
    <row r="12" spans="1:8" ht="17.25" thickBot="1">
      <c r="A12" s="201" t="s">
        <v>8</v>
      </c>
      <c r="B12" s="202"/>
      <c r="C12" s="195" t="s">
        <v>141</v>
      </c>
      <c r="D12" s="196"/>
      <c r="F12" s="6"/>
      <c r="G12" s="6"/>
      <c r="H12" s="6"/>
    </row>
    <row r="13" spans="1:8">
      <c r="A13" s="69" t="s">
        <v>178</v>
      </c>
      <c r="B13" s="8"/>
      <c r="C13" s="199" t="s">
        <v>169</v>
      </c>
      <c r="D13" s="200"/>
      <c r="F13" s="190" t="s">
        <v>295</v>
      </c>
      <c r="G13" s="191"/>
      <c r="H13" s="192"/>
    </row>
    <row r="14" spans="1:8">
      <c r="A14" s="69" t="s">
        <v>179</v>
      </c>
      <c r="B14" s="8"/>
      <c r="C14" s="193">
        <f>G43</f>
        <v>0</v>
      </c>
      <c r="D14" s="194"/>
      <c r="F14" s="75" t="s">
        <v>157</v>
      </c>
      <c r="G14" s="76" t="s">
        <v>152</v>
      </c>
      <c r="H14" s="61" t="s">
        <v>153</v>
      </c>
    </row>
    <row r="15" spans="1:8" ht="17.25" thickBot="1">
      <c r="A15" s="71" t="s">
        <v>61</v>
      </c>
      <c r="B15" s="72">
        <f>SUM(B4:B7)+SUM(B9:B11)+SUM(B13:B14)</f>
        <v>0</v>
      </c>
      <c r="C15" s="73" t="s">
        <v>62</v>
      </c>
      <c r="D15" s="74">
        <f>SUM(C5+C8+C11+C14)</f>
        <v>0</v>
      </c>
      <c r="F15" s="77" t="s">
        <v>158</v>
      </c>
      <c r="G15" s="81">
        <f>H15*12</f>
        <v>0</v>
      </c>
      <c r="H15" s="33"/>
    </row>
    <row r="16" spans="1:8">
      <c r="B16" s="55"/>
      <c r="C16" s="55"/>
      <c r="D16" s="55"/>
      <c r="F16" s="77" t="s">
        <v>159</v>
      </c>
      <c r="G16" s="10"/>
      <c r="H16" s="82">
        <f>G16/12</f>
        <v>0</v>
      </c>
    </row>
    <row r="17" spans="1:8" ht="17.25" thickBot="1">
      <c r="F17" s="77" t="s">
        <v>160</v>
      </c>
      <c r="G17" s="10"/>
      <c r="H17" s="82">
        <f>G17/12</f>
        <v>0</v>
      </c>
    </row>
    <row r="18" spans="1:8">
      <c r="A18" s="190" t="s">
        <v>293</v>
      </c>
      <c r="B18" s="191"/>
      <c r="C18" s="191"/>
      <c r="D18" s="192"/>
      <c r="F18" s="77" t="s">
        <v>162</v>
      </c>
      <c r="G18" s="10"/>
      <c r="H18" s="82">
        <f>G18/12</f>
        <v>0</v>
      </c>
    </row>
    <row r="19" spans="1:8">
      <c r="A19" s="212" t="s">
        <v>16</v>
      </c>
      <c r="B19" s="213"/>
      <c r="C19" s="210" t="s">
        <v>17</v>
      </c>
      <c r="D19" s="211"/>
      <c r="F19" s="77" t="s">
        <v>163</v>
      </c>
      <c r="G19" s="10"/>
      <c r="H19" s="82">
        <f>G19/12</f>
        <v>0</v>
      </c>
    </row>
    <row r="20" spans="1:8">
      <c r="A20" s="31" t="s">
        <v>22</v>
      </c>
      <c r="B20" s="8"/>
      <c r="C20" s="7" t="s">
        <v>18</v>
      </c>
      <c r="D20" s="32"/>
      <c r="F20" s="31" t="s">
        <v>164</v>
      </c>
      <c r="G20" s="10"/>
      <c r="H20" s="82">
        <f>G20/12</f>
        <v>0</v>
      </c>
    </row>
    <row r="21" spans="1:8" ht="17.25" thickBot="1">
      <c r="A21" s="31" t="s">
        <v>23</v>
      </c>
      <c r="B21" s="8"/>
      <c r="C21" s="7" t="s">
        <v>20</v>
      </c>
      <c r="D21" s="32"/>
      <c r="F21" s="78" t="s">
        <v>155</v>
      </c>
      <c r="G21" s="34">
        <f>SUM(G15:G20)</f>
        <v>0</v>
      </c>
      <c r="H21" s="84">
        <f>SUM(H15:H20)</f>
        <v>0</v>
      </c>
    </row>
    <row r="22" spans="1:8">
      <c r="A22" s="31" t="s">
        <v>24</v>
      </c>
      <c r="B22" s="8"/>
      <c r="C22" s="7" t="s">
        <v>21</v>
      </c>
      <c r="D22" s="32"/>
      <c r="F22" s="6"/>
      <c r="G22" s="6"/>
      <c r="H22" s="6"/>
    </row>
    <row r="23" spans="1:8" ht="17.25" thickBot="1">
      <c r="A23" s="31" t="s">
        <v>25</v>
      </c>
      <c r="B23" s="8"/>
      <c r="C23" s="7" t="s">
        <v>19</v>
      </c>
      <c r="D23" s="32"/>
      <c r="F23" s="6"/>
      <c r="G23" s="6"/>
      <c r="H23" s="6"/>
    </row>
    <row r="24" spans="1:8">
      <c r="A24" s="31" t="s">
        <v>12</v>
      </c>
      <c r="B24" s="8"/>
      <c r="C24" s="7" t="s">
        <v>12</v>
      </c>
      <c r="D24" s="32"/>
      <c r="F24" s="190" t="s">
        <v>296</v>
      </c>
      <c r="G24" s="191"/>
      <c r="H24" s="192"/>
    </row>
    <row r="25" spans="1:8" ht="17.25" thickBot="1">
      <c r="A25" s="71" t="s">
        <v>64</v>
      </c>
      <c r="B25" s="72">
        <f>SUM(B20:B24)</f>
        <v>0</v>
      </c>
      <c r="C25" s="73" t="s">
        <v>63</v>
      </c>
      <c r="D25" s="74">
        <f>SUM(D20:D24)</f>
        <v>0</v>
      </c>
      <c r="F25" s="75" t="s">
        <v>157</v>
      </c>
      <c r="G25" s="76" t="s">
        <v>152</v>
      </c>
      <c r="H25" s="61" t="s">
        <v>153</v>
      </c>
    </row>
    <row r="26" spans="1:8">
      <c r="F26" s="77" t="s">
        <v>172</v>
      </c>
      <c r="G26" s="81">
        <f>H26*12</f>
        <v>0</v>
      </c>
      <c r="H26" s="33"/>
    </row>
    <row r="27" spans="1:8">
      <c r="F27" s="77" t="s">
        <v>173</v>
      </c>
      <c r="G27" s="81">
        <f>H27*12</f>
        <v>0</v>
      </c>
      <c r="H27" s="33"/>
    </row>
    <row r="28" spans="1:8">
      <c r="F28" s="77" t="s">
        <v>175</v>
      </c>
      <c r="G28" s="10"/>
      <c r="H28" s="82">
        <f>G28/12</f>
        <v>0</v>
      </c>
    </row>
    <row r="29" spans="1:8">
      <c r="F29" s="77" t="s">
        <v>174</v>
      </c>
      <c r="G29" s="10"/>
      <c r="H29" s="82">
        <f>G29/12</f>
        <v>0</v>
      </c>
    </row>
    <row r="30" spans="1:8">
      <c r="F30" s="31" t="s">
        <v>176</v>
      </c>
      <c r="G30" s="10"/>
      <c r="H30" s="82">
        <f>G30/12</f>
        <v>0</v>
      </c>
    </row>
    <row r="31" spans="1:8">
      <c r="F31" s="31" t="s">
        <v>177</v>
      </c>
      <c r="G31" s="10"/>
      <c r="H31" s="82">
        <f>G31/12</f>
        <v>0</v>
      </c>
    </row>
    <row r="32" spans="1:8" ht="17.25" thickBot="1">
      <c r="F32" s="78" t="s">
        <v>155</v>
      </c>
      <c r="G32" s="83">
        <f>SUM(G26:G31)</f>
        <v>0</v>
      </c>
      <c r="H32" s="84">
        <f>SUM(H26:H31)</f>
        <v>0</v>
      </c>
    </row>
    <row r="33" spans="6:8">
      <c r="F33" s="6"/>
      <c r="G33" s="6"/>
      <c r="H33" s="6"/>
    </row>
    <row r="34" spans="6:8">
      <c r="F34" s="6"/>
      <c r="G34" s="6"/>
      <c r="H34" s="6"/>
    </row>
    <row r="35" spans="6:8">
      <c r="F35" s="209" t="s">
        <v>297</v>
      </c>
      <c r="G35" s="209"/>
      <c r="H35" s="209"/>
    </row>
    <row r="36" spans="6:8">
      <c r="F36" s="76" t="s">
        <v>170</v>
      </c>
      <c r="G36" s="76" t="s">
        <v>152</v>
      </c>
      <c r="H36" s="76" t="s">
        <v>153</v>
      </c>
    </row>
    <row r="37" spans="6:8">
      <c r="F37" s="86" t="s">
        <v>181</v>
      </c>
      <c r="G37" s="81">
        <f>H37*12</f>
        <v>0</v>
      </c>
      <c r="H37" s="10"/>
    </row>
    <row r="38" spans="6:8">
      <c r="F38" s="86" t="s">
        <v>182</v>
      </c>
      <c r="G38" s="81">
        <f>H38*12</f>
        <v>0</v>
      </c>
      <c r="H38" s="10"/>
    </row>
    <row r="39" spans="6:8">
      <c r="F39" s="86" t="s">
        <v>183</v>
      </c>
      <c r="G39" s="81">
        <f>H39*12</f>
        <v>0</v>
      </c>
      <c r="H39" s="10"/>
    </row>
    <row r="40" spans="6:8">
      <c r="F40" s="7" t="s">
        <v>166</v>
      </c>
      <c r="G40" s="10"/>
      <c r="H40" s="81">
        <f>G40/12</f>
        <v>0</v>
      </c>
    </row>
    <row r="41" spans="6:8">
      <c r="F41" s="7" t="s">
        <v>167</v>
      </c>
      <c r="G41" s="10"/>
      <c r="H41" s="81">
        <f>G41/12</f>
        <v>0</v>
      </c>
    </row>
    <row r="42" spans="6:8">
      <c r="F42" s="7" t="s">
        <v>168</v>
      </c>
      <c r="G42" s="10"/>
      <c r="H42" s="81">
        <f>G42/12</f>
        <v>0</v>
      </c>
    </row>
    <row r="43" spans="6:8">
      <c r="F43" s="86" t="s">
        <v>155</v>
      </c>
      <c r="G43" s="87">
        <f>SUM(G37:G42)</f>
        <v>0</v>
      </c>
      <c r="H43" s="87">
        <f>SUM(H37:H42)</f>
        <v>0</v>
      </c>
    </row>
    <row r="44" spans="6:8">
      <c r="F44" s="55"/>
      <c r="G44" s="55"/>
      <c r="H44" s="55"/>
    </row>
  </sheetData>
  <sheetProtection selectLockedCells="1"/>
  <mergeCells count="24">
    <mergeCell ref="F24:H24"/>
    <mergeCell ref="F35:H35"/>
    <mergeCell ref="C12:D12"/>
    <mergeCell ref="C13:D13"/>
    <mergeCell ref="C14:D14"/>
    <mergeCell ref="A18:D18"/>
    <mergeCell ref="A19:B19"/>
    <mergeCell ref="C19:D19"/>
    <mergeCell ref="F1:H1"/>
    <mergeCell ref="F13:H13"/>
    <mergeCell ref="C6:D6"/>
    <mergeCell ref="C7:D7"/>
    <mergeCell ref="A8:B8"/>
    <mergeCell ref="C8:D8"/>
    <mergeCell ref="C9:D9"/>
    <mergeCell ref="C10:D10"/>
    <mergeCell ref="A1:D1"/>
    <mergeCell ref="C2:D2"/>
    <mergeCell ref="A3:B3"/>
    <mergeCell ref="C3:D3"/>
    <mergeCell ref="C4:D4"/>
    <mergeCell ref="C5:D5"/>
    <mergeCell ref="C11:D11"/>
    <mergeCell ref="A12:B1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11"/>
  <sheetViews>
    <sheetView zoomScale="90" zoomScaleNormal="90" workbookViewId="0">
      <selection activeCell="B4" sqref="B4"/>
    </sheetView>
  </sheetViews>
  <sheetFormatPr defaultRowHeight="16.5"/>
  <cols>
    <col min="1" max="1" width="28.5" customWidth="1"/>
    <col min="2" max="2" width="19.5" customWidth="1"/>
    <col min="3" max="3" width="18.375" customWidth="1"/>
    <col min="4" max="4" width="20.625" customWidth="1"/>
  </cols>
  <sheetData>
    <row r="2" spans="1:4">
      <c r="A2" s="277" t="s">
        <v>53</v>
      </c>
      <c r="B2" s="277"/>
      <c r="C2" s="277"/>
      <c r="D2" s="277"/>
    </row>
    <row r="3" spans="1:4">
      <c r="A3" s="148" t="s">
        <v>83</v>
      </c>
      <c r="B3" s="148" t="s">
        <v>88</v>
      </c>
      <c r="C3" s="148" t="s">
        <v>89</v>
      </c>
      <c r="D3" s="148" t="s">
        <v>225</v>
      </c>
    </row>
    <row r="4" spans="1:4">
      <c r="A4" s="150" t="s">
        <v>54</v>
      </c>
      <c r="B4" s="1"/>
      <c r="C4" s="1"/>
      <c r="D4" s="1"/>
    </row>
    <row r="5" spans="1:4">
      <c r="A5" s="150" t="s">
        <v>85</v>
      </c>
      <c r="B5" s="159"/>
      <c r="C5" s="159"/>
      <c r="D5" s="159"/>
    </row>
    <row r="6" spans="1:4">
      <c r="A6" s="150" t="s">
        <v>86</v>
      </c>
      <c r="B6" s="160">
        <f>FV(Step1基本資料輸入!E19,B4,,-B5)</f>
        <v>0</v>
      </c>
      <c r="C6" s="160">
        <f>FV(Step1基本資料輸入!E19,C4,,-C5)</f>
        <v>0</v>
      </c>
      <c r="D6" s="160">
        <f>FV(Step1基本資料輸入!E19,D4,,-D5)</f>
        <v>0</v>
      </c>
    </row>
    <row r="7" spans="1:4">
      <c r="A7" s="150" t="s">
        <v>87</v>
      </c>
      <c r="B7" s="159"/>
      <c r="C7" s="159"/>
      <c r="D7" s="159"/>
    </row>
    <row r="8" spans="1:4">
      <c r="A8" s="150" t="s">
        <v>84</v>
      </c>
      <c r="B8" s="160">
        <f>FV(Step1基本資料輸入!D19,B4,,-B7)</f>
        <v>0</v>
      </c>
      <c r="C8" s="160">
        <f>FV(Step1基本資料輸入!D19,C4,,-C7)</f>
        <v>0</v>
      </c>
      <c r="D8" s="160">
        <f>FV(Step1基本資料輸入!D19,D4,,-D7)</f>
        <v>0</v>
      </c>
    </row>
    <row r="9" spans="1:4">
      <c r="A9" s="150" t="s">
        <v>55</v>
      </c>
      <c r="B9" s="160">
        <f>B8-B6</f>
        <v>0</v>
      </c>
      <c r="C9" s="160">
        <f>C8-C6</f>
        <v>0</v>
      </c>
      <c r="D9" s="160">
        <f>D8-D6</f>
        <v>0</v>
      </c>
    </row>
    <row r="10" spans="1:4">
      <c r="A10" s="150" t="s">
        <v>90</v>
      </c>
      <c r="B10" s="160" t="e">
        <f>PMT(Step1基本資料輸入!D19,B4,,-B9)</f>
        <v>#NUM!</v>
      </c>
      <c r="C10" s="160" t="e">
        <f>PMT(Step1基本資料輸入!E19,C4,,-C9)</f>
        <v>#NUM!</v>
      </c>
      <c r="D10" s="160" t="e">
        <f>PMT(Step1基本資料輸入!F19,D4,,-D9)</f>
        <v>#NUM!</v>
      </c>
    </row>
    <row r="11" spans="1:4">
      <c r="A11" s="150" t="s">
        <v>91</v>
      </c>
      <c r="B11" s="160" t="e">
        <f>B10/12</f>
        <v>#NUM!</v>
      </c>
      <c r="C11" s="160" t="e">
        <f>C10/12</f>
        <v>#NUM!</v>
      </c>
      <c r="D11" s="160" t="e">
        <f>D10/12</f>
        <v>#NUM!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abSelected="1" workbookViewId="0">
      <selection activeCell="K6" sqref="K6"/>
    </sheetView>
  </sheetViews>
  <sheetFormatPr defaultRowHeight="16.5"/>
  <cols>
    <col min="4" max="4" width="15" style="2" customWidth="1"/>
    <col min="5" max="5" width="12" style="3" customWidth="1"/>
  </cols>
  <sheetData>
    <row r="1" spans="1:5">
      <c r="A1" t="s">
        <v>101</v>
      </c>
    </row>
    <row r="2" spans="1:5">
      <c r="A2" t="s">
        <v>102</v>
      </c>
      <c r="B2" t="s">
        <v>108</v>
      </c>
      <c r="C2" t="s">
        <v>109</v>
      </c>
      <c r="D2" s="278" t="s">
        <v>110</v>
      </c>
      <c r="E2" s="278"/>
    </row>
    <row r="3" spans="1:5">
      <c r="A3" t="s">
        <v>66</v>
      </c>
      <c r="B3">
        <v>0</v>
      </c>
      <c r="C3" s="4" t="s">
        <v>228</v>
      </c>
      <c r="D3" s="2" t="s">
        <v>112</v>
      </c>
      <c r="E3" s="3">
        <v>58726</v>
      </c>
    </row>
    <row r="4" spans="1:5">
      <c r="A4" t="s">
        <v>67</v>
      </c>
      <c r="B4">
        <v>1</v>
      </c>
      <c r="C4" s="4" t="s">
        <v>227</v>
      </c>
      <c r="D4" s="2" t="s">
        <v>113</v>
      </c>
      <c r="E4" s="3">
        <v>109994</v>
      </c>
    </row>
    <row r="5" spans="1:5">
      <c r="B5">
        <v>2</v>
      </c>
      <c r="D5" t="s">
        <v>218</v>
      </c>
      <c r="E5" s="3">
        <v>500000</v>
      </c>
    </row>
    <row r="6" spans="1:5">
      <c r="B6">
        <v>3</v>
      </c>
      <c r="D6" t="s">
        <v>220</v>
      </c>
      <c r="E6" s="3">
        <v>800000</v>
      </c>
    </row>
    <row r="7" spans="1:5">
      <c r="B7">
        <v>4</v>
      </c>
      <c r="D7" t="s">
        <v>104</v>
      </c>
      <c r="E7" s="3">
        <v>50000</v>
      </c>
    </row>
    <row r="8" spans="1:5">
      <c r="B8">
        <v>5</v>
      </c>
      <c r="D8" t="s">
        <v>105</v>
      </c>
      <c r="E8" s="3">
        <v>300000</v>
      </c>
    </row>
    <row r="9" spans="1:5">
      <c r="B9">
        <v>6</v>
      </c>
      <c r="D9" t="s">
        <v>107</v>
      </c>
      <c r="E9" s="3">
        <v>100000</v>
      </c>
    </row>
    <row r="10" spans="1:5">
      <c r="B10">
        <v>7</v>
      </c>
      <c r="D10" s="2" t="s">
        <v>114</v>
      </c>
      <c r="E10" s="3" t="s">
        <v>116</v>
      </c>
    </row>
    <row r="11" spans="1:5">
      <c r="D11" s="177">
        <f>PV(Step1基本資料輸入!F19/12,退休規劃試算!B5*12,退休規劃試算!B12)</f>
        <v>-6326293.6001994368</v>
      </c>
      <c r="E11" s="177">
        <f>PV(Step1基本資料輸入!F20/12,退休規劃試算!C5*12,退休規劃試算!C12)</f>
        <v>-6326293.6001994368</v>
      </c>
    </row>
  </sheetData>
  <mergeCells count="1">
    <mergeCell ref="D2:E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zoomScale="80" zoomScaleNormal="80" workbookViewId="0">
      <selection activeCell="C21" sqref="C21"/>
    </sheetView>
  </sheetViews>
  <sheetFormatPr defaultRowHeight="16.5"/>
  <cols>
    <col min="1" max="1" width="18.75" customWidth="1"/>
    <col min="2" max="2" width="17.375" customWidth="1"/>
    <col min="3" max="3" width="18" customWidth="1"/>
    <col min="4" max="4" width="79.125" customWidth="1"/>
  </cols>
  <sheetData>
    <row r="1" spans="1:9">
      <c r="A1" s="190" t="s">
        <v>26</v>
      </c>
      <c r="B1" s="191"/>
      <c r="C1" s="191"/>
      <c r="D1" s="192"/>
    </row>
    <row r="2" spans="1:9">
      <c r="A2" s="56" t="s">
        <v>35</v>
      </c>
      <c r="B2" s="57" t="s">
        <v>123</v>
      </c>
      <c r="C2" s="57" t="s">
        <v>232</v>
      </c>
      <c r="D2" s="58" t="s">
        <v>229</v>
      </c>
    </row>
    <row r="3" spans="1:9">
      <c r="A3" s="18" t="s">
        <v>226</v>
      </c>
      <c r="B3" s="57" t="s">
        <v>27</v>
      </c>
      <c r="C3" s="7"/>
      <c r="D3" s="65"/>
    </row>
    <row r="4" spans="1:9">
      <c r="A4" s="18" t="s">
        <v>226</v>
      </c>
      <c r="B4" s="57" t="s">
        <v>29</v>
      </c>
      <c r="C4" s="7"/>
      <c r="D4" s="65"/>
    </row>
    <row r="5" spans="1:9">
      <c r="A5" s="18" t="s">
        <v>226</v>
      </c>
      <c r="B5" s="57" t="s">
        <v>30</v>
      </c>
      <c r="C5" s="7"/>
      <c r="D5" s="65"/>
    </row>
    <row r="6" spans="1:9">
      <c r="A6" s="18" t="s">
        <v>226</v>
      </c>
      <c r="B6" s="57" t="s">
        <v>38</v>
      </c>
      <c r="C6" s="7"/>
      <c r="D6" s="65"/>
    </row>
    <row r="7" spans="1:9">
      <c r="A7" s="18" t="s">
        <v>226</v>
      </c>
      <c r="B7" s="7" t="s">
        <v>12</v>
      </c>
      <c r="C7" s="7"/>
      <c r="D7" s="65"/>
    </row>
    <row r="8" spans="1:9">
      <c r="A8" s="59" t="s">
        <v>36</v>
      </c>
      <c r="B8" s="60" t="s">
        <v>230</v>
      </c>
      <c r="C8" s="60"/>
      <c r="D8" s="61" t="s">
        <v>229</v>
      </c>
    </row>
    <row r="9" spans="1:9">
      <c r="A9" s="18" t="s">
        <v>34</v>
      </c>
      <c r="B9" s="60" t="s">
        <v>28</v>
      </c>
      <c r="C9" s="7"/>
      <c r="D9" s="65"/>
    </row>
    <row r="10" spans="1:9">
      <c r="A10" s="18" t="s">
        <v>34</v>
      </c>
      <c r="B10" s="60" t="s">
        <v>31</v>
      </c>
      <c r="C10" s="7"/>
      <c r="D10" s="65"/>
    </row>
    <row r="11" spans="1:9">
      <c r="A11" s="18" t="s">
        <v>34</v>
      </c>
      <c r="B11" s="7" t="s">
        <v>12</v>
      </c>
      <c r="C11" s="7"/>
      <c r="D11" s="65"/>
    </row>
    <row r="12" spans="1:9">
      <c r="A12" s="31"/>
      <c r="B12" s="9"/>
      <c r="C12" s="7"/>
      <c r="D12" s="65"/>
      <c r="I12" s="55"/>
    </row>
    <row r="13" spans="1:9">
      <c r="A13" s="62" t="s">
        <v>37</v>
      </c>
      <c r="B13" s="63" t="s">
        <v>230</v>
      </c>
      <c r="C13" s="63" t="s">
        <v>231</v>
      </c>
      <c r="D13" s="64" t="s">
        <v>233</v>
      </c>
    </row>
    <row r="14" spans="1:9">
      <c r="A14" s="18" t="s">
        <v>34</v>
      </c>
      <c r="B14" s="63" t="s">
        <v>39</v>
      </c>
      <c r="C14" s="7"/>
      <c r="D14" s="65"/>
    </row>
    <row r="15" spans="1:9">
      <c r="A15" s="18" t="s">
        <v>34</v>
      </c>
      <c r="B15" s="63" t="s">
        <v>32</v>
      </c>
      <c r="C15" s="7"/>
      <c r="D15" s="65"/>
    </row>
    <row r="16" spans="1:9">
      <c r="A16" s="18" t="s">
        <v>34</v>
      </c>
      <c r="B16" s="63" t="s">
        <v>33</v>
      </c>
      <c r="C16" s="7"/>
      <c r="D16" s="65"/>
    </row>
    <row r="17" spans="1:4">
      <c r="A17" s="18" t="s">
        <v>34</v>
      </c>
      <c r="B17" s="63" t="s">
        <v>40</v>
      </c>
      <c r="C17" s="7"/>
      <c r="D17" s="65"/>
    </row>
    <row r="18" spans="1:4" ht="17.25" thickBot="1">
      <c r="A18" s="36" t="s">
        <v>34</v>
      </c>
      <c r="B18" s="37" t="s">
        <v>12</v>
      </c>
      <c r="C18" s="37"/>
      <c r="D18" s="66"/>
    </row>
    <row r="19" spans="1:4">
      <c r="A19" s="6"/>
      <c r="B19" s="6"/>
      <c r="C19" s="6"/>
      <c r="D19" s="6"/>
    </row>
  </sheetData>
  <sheetProtection selectLockedCells="1"/>
  <mergeCells count="1">
    <mergeCell ref="A1:D1"/>
  </mergeCells>
  <phoneticPr fontId="1" type="noConversion"/>
  <pageMargins left="0.7" right="0.7" top="0.75" bottom="0.75" header="0.3" footer="0.3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參數表!$C$3:$C$4</xm:f>
          </x14:formula1>
          <xm:sqref>A3:A7 A9:A11 A14:A18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zoomScale="70" zoomScaleNormal="70" workbookViewId="0">
      <selection activeCell="B26" sqref="B26"/>
    </sheetView>
  </sheetViews>
  <sheetFormatPr defaultRowHeight="16.5"/>
  <cols>
    <col min="1" max="1" width="11.5" customWidth="1"/>
    <col min="2" max="2" width="26.875" customWidth="1"/>
    <col min="3" max="3" width="10.25" customWidth="1"/>
    <col min="4" max="4" width="39.25" customWidth="1"/>
    <col min="6" max="6" width="34.875" customWidth="1"/>
    <col min="7" max="7" width="23.125" customWidth="1"/>
    <col min="8" max="8" width="21.625" customWidth="1"/>
  </cols>
  <sheetData>
    <row r="1" spans="1:8">
      <c r="A1" s="190" t="s">
        <v>11</v>
      </c>
      <c r="B1" s="191"/>
      <c r="C1" s="191"/>
      <c r="D1" s="192"/>
      <c r="F1" s="190" t="s">
        <v>156</v>
      </c>
      <c r="G1" s="191"/>
      <c r="H1" s="192"/>
    </row>
    <row r="2" spans="1:8">
      <c r="A2" s="67" t="s">
        <v>9</v>
      </c>
      <c r="B2" s="68"/>
      <c r="C2" s="207" t="s">
        <v>10</v>
      </c>
      <c r="D2" s="208"/>
      <c r="F2" s="75" t="s">
        <v>157</v>
      </c>
      <c r="G2" s="76" t="s">
        <v>152</v>
      </c>
      <c r="H2" s="61" t="s">
        <v>153</v>
      </c>
    </row>
    <row r="3" spans="1:8">
      <c r="A3" s="201" t="s">
        <v>98</v>
      </c>
      <c r="B3" s="202"/>
      <c r="C3" s="205" t="s">
        <v>97</v>
      </c>
      <c r="D3" s="206"/>
      <c r="F3" s="77" t="s">
        <v>146</v>
      </c>
      <c r="G3" s="79">
        <f>H3*12</f>
        <v>0</v>
      </c>
      <c r="H3" s="32"/>
    </row>
    <row r="4" spans="1:8">
      <c r="A4" s="69" t="s">
        <v>99</v>
      </c>
      <c r="B4" s="70"/>
      <c r="C4" s="197" t="s">
        <v>142</v>
      </c>
      <c r="D4" s="198"/>
      <c r="F4" s="77" t="s">
        <v>147</v>
      </c>
      <c r="G4" s="79">
        <f>H4*12</f>
        <v>0</v>
      </c>
      <c r="H4" s="32"/>
    </row>
    <row r="5" spans="1:8">
      <c r="A5" s="69" t="s">
        <v>100</v>
      </c>
      <c r="B5" s="70"/>
      <c r="C5" s="203">
        <f>Step3收支與資產負債表!G11</f>
        <v>0</v>
      </c>
      <c r="D5" s="204"/>
      <c r="F5" s="77" t="s">
        <v>148</v>
      </c>
      <c r="G5" s="79">
        <f>H5*12</f>
        <v>0</v>
      </c>
      <c r="H5" s="32"/>
    </row>
    <row r="6" spans="1:8">
      <c r="A6" s="69" t="s">
        <v>138</v>
      </c>
      <c r="B6" s="70"/>
      <c r="C6" s="195" t="s">
        <v>140</v>
      </c>
      <c r="D6" s="196"/>
      <c r="F6" s="77" t="s">
        <v>149</v>
      </c>
      <c r="G6" s="8"/>
      <c r="H6" s="80">
        <f>G6/12</f>
        <v>0</v>
      </c>
    </row>
    <row r="7" spans="1:8">
      <c r="A7" s="69"/>
      <c r="B7" s="8"/>
      <c r="C7" s="199" t="s">
        <v>143</v>
      </c>
      <c r="D7" s="200"/>
      <c r="F7" s="77" t="s">
        <v>150</v>
      </c>
      <c r="G7" s="79">
        <f>H7*12</f>
        <v>0</v>
      </c>
      <c r="H7" s="32"/>
    </row>
    <row r="8" spans="1:8">
      <c r="A8" s="201" t="s">
        <v>7</v>
      </c>
      <c r="B8" s="202"/>
      <c r="C8" s="203">
        <f>Step3收支與資產負債表!G21</f>
        <v>0</v>
      </c>
      <c r="D8" s="204"/>
      <c r="F8" s="77" t="s">
        <v>151</v>
      </c>
      <c r="G8" s="8"/>
      <c r="H8" s="80">
        <f>G8/12</f>
        <v>0</v>
      </c>
    </row>
    <row r="9" spans="1:8">
      <c r="A9" s="69" t="s">
        <v>13</v>
      </c>
      <c r="B9" s="8"/>
      <c r="C9" s="195" t="s">
        <v>144</v>
      </c>
      <c r="D9" s="196"/>
      <c r="F9" s="77" t="s">
        <v>180</v>
      </c>
      <c r="G9" s="79">
        <f>H9*12</f>
        <v>0</v>
      </c>
      <c r="H9" s="32"/>
    </row>
    <row r="10" spans="1:8">
      <c r="A10" s="69" t="s">
        <v>14</v>
      </c>
      <c r="B10" s="8"/>
      <c r="C10" s="199" t="s">
        <v>145</v>
      </c>
      <c r="D10" s="200"/>
      <c r="F10" s="77" t="s">
        <v>154</v>
      </c>
      <c r="G10" s="8"/>
      <c r="H10" s="80">
        <f>G10/12</f>
        <v>0</v>
      </c>
    </row>
    <row r="11" spans="1:8" ht="17.25" thickBot="1">
      <c r="A11" s="69" t="s">
        <v>139</v>
      </c>
      <c r="B11" s="8"/>
      <c r="C11" s="193">
        <f>Step3收支與資產負債表!G33</f>
        <v>0</v>
      </c>
      <c r="D11" s="194"/>
      <c r="F11" s="78" t="s">
        <v>155</v>
      </c>
      <c r="G11" s="72">
        <f>SUM(G3:G10)</f>
        <v>0</v>
      </c>
      <c r="H11" s="74">
        <f>SUM(H3:H10)</f>
        <v>0</v>
      </c>
    </row>
    <row r="12" spans="1:8" ht="17.25" thickBot="1">
      <c r="A12" s="201" t="s">
        <v>8</v>
      </c>
      <c r="B12" s="202"/>
      <c r="C12" s="195" t="s">
        <v>141</v>
      </c>
      <c r="D12" s="196"/>
      <c r="F12" s="6"/>
      <c r="G12" s="6"/>
      <c r="H12" s="6"/>
    </row>
    <row r="13" spans="1:8">
      <c r="A13" s="69" t="s">
        <v>178</v>
      </c>
      <c r="B13" s="8"/>
      <c r="C13" s="199" t="s">
        <v>169</v>
      </c>
      <c r="D13" s="200"/>
      <c r="F13" s="190" t="s">
        <v>161</v>
      </c>
      <c r="G13" s="191"/>
      <c r="H13" s="192"/>
    </row>
    <row r="14" spans="1:8">
      <c r="A14" s="69" t="s">
        <v>179</v>
      </c>
      <c r="B14" s="8"/>
      <c r="C14" s="193">
        <f>Step3收支與資產負債表!G44</f>
        <v>0</v>
      </c>
      <c r="D14" s="194"/>
      <c r="F14" s="75" t="s">
        <v>157</v>
      </c>
      <c r="G14" s="76" t="s">
        <v>152</v>
      </c>
      <c r="H14" s="61" t="s">
        <v>153</v>
      </c>
    </row>
    <row r="15" spans="1:8" ht="17.25" thickBot="1">
      <c r="A15" s="71" t="s">
        <v>61</v>
      </c>
      <c r="B15" s="72">
        <f>SUM(B4:B7)+SUM(B9:B11)+SUM(B13:B14)</f>
        <v>0</v>
      </c>
      <c r="C15" s="73" t="s">
        <v>62</v>
      </c>
      <c r="D15" s="74">
        <f>SUM(C5+C8+C11+C14)</f>
        <v>0</v>
      </c>
      <c r="F15" s="77" t="s">
        <v>158</v>
      </c>
      <c r="G15" s="81">
        <f>H15*12</f>
        <v>0</v>
      </c>
      <c r="H15" s="33"/>
    </row>
    <row r="16" spans="1:8">
      <c r="F16" s="77" t="s">
        <v>159</v>
      </c>
      <c r="G16" s="10"/>
      <c r="H16" s="82">
        <f>G16/12</f>
        <v>0</v>
      </c>
    </row>
    <row r="17" spans="1:8" ht="17.25" thickBot="1">
      <c r="F17" s="77" t="s">
        <v>160</v>
      </c>
      <c r="G17" s="10"/>
      <c r="H17" s="82">
        <f>G17/12</f>
        <v>0</v>
      </c>
    </row>
    <row r="18" spans="1:8">
      <c r="A18" s="190" t="s">
        <v>15</v>
      </c>
      <c r="B18" s="191"/>
      <c r="C18" s="191"/>
      <c r="D18" s="192"/>
      <c r="F18" s="77" t="s">
        <v>162</v>
      </c>
      <c r="G18" s="10"/>
      <c r="H18" s="82">
        <f>G18/12</f>
        <v>0</v>
      </c>
    </row>
    <row r="19" spans="1:8">
      <c r="A19" s="212" t="s">
        <v>16</v>
      </c>
      <c r="B19" s="213"/>
      <c r="C19" s="210" t="s">
        <v>17</v>
      </c>
      <c r="D19" s="211"/>
      <c r="F19" s="77" t="s">
        <v>163</v>
      </c>
      <c r="G19" s="10"/>
      <c r="H19" s="82">
        <f>G19/12</f>
        <v>0</v>
      </c>
    </row>
    <row r="20" spans="1:8">
      <c r="A20" s="31" t="s">
        <v>22</v>
      </c>
      <c r="B20" s="8"/>
      <c r="C20" s="7" t="s">
        <v>18</v>
      </c>
      <c r="D20" s="32"/>
      <c r="F20" s="31" t="s">
        <v>164</v>
      </c>
      <c r="G20" s="10"/>
      <c r="H20" s="82">
        <f>G20/12</f>
        <v>0</v>
      </c>
    </row>
    <row r="21" spans="1:8" ht="17.25" thickBot="1">
      <c r="A21" s="31" t="s">
        <v>23</v>
      </c>
      <c r="B21" s="8"/>
      <c r="C21" s="7" t="s">
        <v>20</v>
      </c>
      <c r="D21" s="32"/>
      <c r="F21" s="78" t="s">
        <v>155</v>
      </c>
      <c r="G21" s="83">
        <f>SUM(G15:G20)</f>
        <v>0</v>
      </c>
      <c r="H21" s="84">
        <f>SUM(H15:H20)</f>
        <v>0</v>
      </c>
    </row>
    <row r="22" spans="1:8">
      <c r="A22" s="31" t="s">
        <v>24</v>
      </c>
      <c r="B22" s="8"/>
      <c r="C22" s="7" t="s">
        <v>21</v>
      </c>
      <c r="D22" s="32"/>
      <c r="F22" s="6"/>
      <c r="G22" s="6"/>
      <c r="H22" s="6"/>
    </row>
    <row r="23" spans="1:8">
      <c r="A23" s="31" t="s">
        <v>25</v>
      </c>
      <c r="B23" s="8"/>
      <c r="C23" s="7" t="s">
        <v>19</v>
      </c>
      <c r="D23" s="32"/>
      <c r="F23" s="6"/>
      <c r="G23" s="6"/>
      <c r="H23" s="6"/>
    </row>
    <row r="24" spans="1:8" ht="17.25" thickBot="1">
      <c r="A24" s="31" t="s">
        <v>337</v>
      </c>
      <c r="B24" s="8"/>
      <c r="C24" s="7"/>
      <c r="D24" s="32"/>
      <c r="F24" s="6"/>
      <c r="G24" s="6"/>
      <c r="H24" s="6"/>
    </row>
    <row r="25" spans="1:8">
      <c r="A25" s="31" t="s">
        <v>338</v>
      </c>
      <c r="B25" s="8"/>
      <c r="C25" s="7" t="s">
        <v>12</v>
      </c>
      <c r="D25" s="32"/>
      <c r="F25" s="190" t="s">
        <v>171</v>
      </c>
      <c r="G25" s="191"/>
      <c r="H25" s="192"/>
    </row>
    <row r="26" spans="1:8" ht="17.25" thickBot="1">
      <c r="A26" s="71" t="s">
        <v>64</v>
      </c>
      <c r="B26" s="72">
        <f>SUM(B20:B25)</f>
        <v>0</v>
      </c>
      <c r="C26" s="73" t="s">
        <v>63</v>
      </c>
      <c r="D26" s="74">
        <f>SUM(D20:D25)</f>
        <v>0</v>
      </c>
      <c r="F26" s="75" t="s">
        <v>157</v>
      </c>
      <c r="G26" s="76" t="s">
        <v>152</v>
      </c>
      <c r="H26" s="61" t="s">
        <v>153</v>
      </c>
    </row>
    <row r="27" spans="1:8">
      <c r="F27" s="77" t="s">
        <v>172</v>
      </c>
      <c r="G27" s="81">
        <f>H27*12</f>
        <v>0</v>
      </c>
      <c r="H27" s="33"/>
    </row>
    <row r="28" spans="1:8">
      <c r="F28" s="77" t="s">
        <v>173</v>
      </c>
      <c r="G28" s="81">
        <f>H28*12</f>
        <v>0</v>
      </c>
      <c r="H28" s="33"/>
    </row>
    <row r="29" spans="1:8">
      <c r="F29" s="77" t="s">
        <v>175</v>
      </c>
      <c r="G29" s="10"/>
      <c r="H29" s="82">
        <f>G29/12</f>
        <v>0</v>
      </c>
    </row>
    <row r="30" spans="1:8">
      <c r="F30" s="77" t="s">
        <v>174</v>
      </c>
      <c r="G30" s="10"/>
      <c r="H30" s="82">
        <f>G30/12</f>
        <v>0</v>
      </c>
    </row>
    <row r="31" spans="1:8">
      <c r="F31" s="31" t="s">
        <v>176</v>
      </c>
      <c r="G31" s="10"/>
      <c r="H31" s="82">
        <f>G31/12</f>
        <v>0</v>
      </c>
    </row>
    <row r="32" spans="1:8">
      <c r="F32" s="31" t="s">
        <v>177</v>
      </c>
      <c r="G32" s="10"/>
      <c r="H32" s="82">
        <f>G32/12</f>
        <v>0</v>
      </c>
    </row>
    <row r="33" spans="6:8" ht="17.25" thickBot="1">
      <c r="F33" s="78" t="s">
        <v>155</v>
      </c>
      <c r="G33" s="83">
        <f>SUM(G27:G32)</f>
        <v>0</v>
      </c>
      <c r="H33" s="84">
        <f>SUM(H27:H32)</f>
        <v>0</v>
      </c>
    </row>
    <row r="34" spans="6:8">
      <c r="F34" s="6"/>
      <c r="G34" s="6"/>
      <c r="H34" s="6"/>
    </row>
    <row r="35" spans="6:8">
      <c r="F35" s="6"/>
      <c r="G35" s="6"/>
      <c r="H35" s="6"/>
    </row>
    <row r="36" spans="6:8">
      <c r="F36" s="209" t="s">
        <v>165</v>
      </c>
      <c r="G36" s="209"/>
      <c r="H36" s="209"/>
    </row>
    <row r="37" spans="6:8">
      <c r="F37" s="76" t="s">
        <v>170</v>
      </c>
      <c r="G37" s="76" t="s">
        <v>152</v>
      </c>
      <c r="H37" s="76" t="s">
        <v>153</v>
      </c>
    </row>
    <row r="38" spans="6:8">
      <c r="F38" s="86" t="s">
        <v>181</v>
      </c>
      <c r="G38" s="81">
        <f>H38*12</f>
        <v>0</v>
      </c>
      <c r="H38" s="10"/>
    </row>
    <row r="39" spans="6:8">
      <c r="F39" s="86" t="s">
        <v>182</v>
      </c>
      <c r="G39" s="81">
        <f>H39*12</f>
        <v>0</v>
      </c>
      <c r="H39" s="10"/>
    </row>
    <row r="40" spans="6:8">
      <c r="F40" s="86" t="s">
        <v>183</v>
      </c>
      <c r="G40" s="81">
        <f>H40*12</f>
        <v>0</v>
      </c>
      <c r="H40" s="10"/>
    </row>
    <row r="41" spans="6:8">
      <c r="F41" s="7" t="s">
        <v>166</v>
      </c>
      <c r="G41" s="10"/>
      <c r="H41" s="81">
        <f>G41/12</f>
        <v>0</v>
      </c>
    </row>
    <row r="42" spans="6:8">
      <c r="F42" s="7" t="s">
        <v>167</v>
      </c>
      <c r="G42" s="10"/>
      <c r="H42" s="81">
        <f>G42/12</f>
        <v>0</v>
      </c>
    </row>
    <row r="43" spans="6:8">
      <c r="F43" s="7" t="s">
        <v>168</v>
      </c>
      <c r="G43" s="10"/>
      <c r="H43" s="81">
        <f>G43/12</f>
        <v>0</v>
      </c>
    </row>
    <row r="44" spans="6:8">
      <c r="F44" s="86" t="s">
        <v>155</v>
      </c>
      <c r="G44" s="87">
        <f>SUM(G38:G43)</f>
        <v>0</v>
      </c>
      <c r="H44" s="87">
        <f>SUM(H38:H43)</f>
        <v>0</v>
      </c>
    </row>
  </sheetData>
  <sheetProtection selectLockedCells="1"/>
  <mergeCells count="24">
    <mergeCell ref="C6:D6"/>
    <mergeCell ref="C5:D5"/>
    <mergeCell ref="C7:D7"/>
    <mergeCell ref="F36:H36"/>
    <mergeCell ref="F25:H25"/>
    <mergeCell ref="A18:D18"/>
    <mergeCell ref="C19:D19"/>
    <mergeCell ref="A19:B19"/>
    <mergeCell ref="A1:D1"/>
    <mergeCell ref="C11:D11"/>
    <mergeCell ref="C14:D14"/>
    <mergeCell ref="F1:H1"/>
    <mergeCell ref="F13:H13"/>
    <mergeCell ref="C9:D9"/>
    <mergeCell ref="C4:D4"/>
    <mergeCell ref="C10:D10"/>
    <mergeCell ref="C12:D12"/>
    <mergeCell ref="C13:D13"/>
    <mergeCell ref="A8:B8"/>
    <mergeCell ref="A12:B12"/>
    <mergeCell ref="C8:D8"/>
    <mergeCell ref="A3:B3"/>
    <mergeCell ref="C3:D3"/>
    <mergeCell ref="C2:D2"/>
  </mergeCells>
  <phoneticPr fontId="1" type="noConversion"/>
  <pageMargins left="0.25" right="0.25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1"/>
  <sheetViews>
    <sheetView topLeftCell="B1" zoomScale="70" zoomScaleNormal="70" workbookViewId="0">
      <selection activeCell="G8" sqref="G8"/>
    </sheetView>
  </sheetViews>
  <sheetFormatPr defaultRowHeight="16.5"/>
  <cols>
    <col min="1" max="1" width="12.5" customWidth="1"/>
    <col min="4" max="4" width="54.125" customWidth="1"/>
    <col min="6" max="6" width="9.75" bestFit="1" customWidth="1"/>
  </cols>
  <sheetData>
    <row r="1" spans="1:4">
      <c r="A1" s="234" t="s">
        <v>122</v>
      </c>
      <c r="B1" s="235"/>
      <c r="C1" s="235"/>
      <c r="D1" s="236"/>
    </row>
    <row r="2" spans="1:4" s="5" customFormat="1">
      <c r="A2" s="98" t="s">
        <v>123</v>
      </c>
      <c r="B2" s="88" t="s">
        <v>124</v>
      </c>
      <c r="C2" s="89" t="s">
        <v>125</v>
      </c>
      <c r="D2" s="90" t="s">
        <v>126</v>
      </c>
    </row>
    <row r="3" spans="1:4">
      <c r="A3" s="243" t="s">
        <v>127</v>
      </c>
      <c r="B3" s="237" t="e">
        <f>(Step3收支與資產負債表!B15-Step3收支與資產負債表!D15+Step3收支與資產負債表!G21)/Step3收支與資產負債表!B15</f>
        <v>#DIV/0!</v>
      </c>
      <c r="C3" s="241" t="s">
        <v>131</v>
      </c>
      <c r="D3" s="91" t="s">
        <v>137</v>
      </c>
    </row>
    <row r="4" spans="1:4">
      <c r="A4" s="243"/>
      <c r="B4" s="237"/>
      <c r="C4" s="241"/>
      <c r="D4" s="13"/>
    </row>
    <row r="5" spans="1:4">
      <c r="A5" s="243" t="s">
        <v>128</v>
      </c>
      <c r="B5" s="237" t="e">
        <f>Step3收支與資產負債表!D26/Step3收支與資產負債表!B26</f>
        <v>#DIV/0!</v>
      </c>
      <c r="C5" s="241" t="s">
        <v>132</v>
      </c>
      <c r="D5" s="91" t="s">
        <v>336</v>
      </c>
    </row>
    <row r="6" spans="1:4">
      <c r="A6" s="243"/>
      <c r="B6" s="237"/>
      <c r="C6" s="241"/>
      <c r="D6" s="13"/>
    </row>
    <row r="7" spans="1:4">
      <c r="A7" s="243" t="s">
        <v>129</v>
      </c>
      <c r="B7" s="238" t="e">
        <f>(Step3收支與資產負債表!B20+Step3收支與資產負債表!B24+Step3收支與資產負債表!B25)/(Step3收支與資產負債表!D15/12)</f>
        <v>#DIV/0!</v>
      </c>
      <c r="C7" s="241" t="s">
        <v>134</v>
      </c>
      <c r="D7" s="91" t="s">
        <v>135</v>
      </c>
    </row>
    <row r="8" spans="1:4">
      <c r="A8" s="243"/>
      <c r="B8" s="238"/>
      <c r="C8" s="241"/>
      <c r="D8" s="13"/>
    </row>
    <row r="9" spans="1:4" ht="49.5">
      <c r="A9" s="243" t="s">
        <v>130</v>
      </c>
      <c r="B9" s="239" t="e">
        <f>(Step3收支與資產負債表!B9+Step3收支與資產負債表!B10+Step3收支與資產負債表!B11)/Step3收支與資產負債表!D15</f>
        <v>#DIV/0!</v>
      </c>
      <c r="C9" s="241" t="s">
        <v>133</v>
      </c>
      <c r="D9" s="92" t="s">
        <v>136</v>
      </c>
    </row>
    <row r="10" spans="1:4" ht="17.25" thickBot="1">
      <c r="A10" s="244"/>
      <c r="B10" s="240"/>
      <c r="C10" s="242"/>
      <c r="D10" s="14"/>
    </row>
    <row r="12" spans="1:4" ht="17.25" thickBot="1"/>
    <row r="13" spans="1:4">
      <c r="A13" s="93" t="s">
        <v>186</v>
      </c>
      <c r="B13" s="219" t="s">
        <v>196</v>
      </c>
      <c r="C13" s="219"/>
      <c r="D13" s="220"/>
    </row>
    <row r="14" spans="1:4">
      <c r="A14" s="94" t="s">
        <v>184</v>
      </c>
      <c r="B14" s="231" t="s">
        <v>188</v>
      </c>
      <c r="C14" s="232"/>
      <c r="D14" s="233"/>
    </row>
    <row r="15" spans="1:4">
      <c r="A15" s="94" t="s">
        <v>187</v>
      </c>
      <c r="B15" s="227" t="e">
        <f>Step4財務資料分析與四大帳戶!B7</f>
        <v>#DIV/0!</v>
      </c>
      <c r="C15" s="227"/>
      <c r="D15" s="228"/>
    </row>
    <row r="16" spans="1:4" ht="52.5" customHeight="1" thickBot="1">
      <c r="A16" s="95" t="s">
        <v>208</v>
      </c>
      <c r="B16" s="221"/>
      <c r="C16" s="222"/>
      <c r="D16" s="223"/>
    </row>
    <row r="17" spans="1:4" ht="17.25" thickBot="1">
      <c r="A17" s="5"/>
      <c r="B17" s="35"/>
      <c r="C17" s="35"/>
      <c r="D17" s="35"/>
    </row>
    <row r="18" spans="1:4" ht="17.25" thickBot="1">
      <c r="A18" s="93" t="s">
        <v>186</v>
      </c>
      <c r="B18" s="219" t="s">
        <v>196</v>
      </c>
      <c r="C18" s="219"/>
      <c r="D18" s="220"/>
    </row>
    <row r="19" spans="1:4" ht="33">
      <c r="A19" s="50" t="s">
        <v>190</v>
      </c>
      <c r="B19" s="214" t="s">
        <v>191</v>
      </c>
      <c r="C19" s="214"/>
      <c r="D19" s="215"/>
    </row>
    <row r="20" spans="1:4">
      <c r="A20" s="94" t="s">
        <v>187</v>
      </c>
      <c r="B20" s="229"/>
      <c r="C20" s="229"/>
      <c r="D20" s="230"/>
    </row>
    <row r="21" spans="1:4" ht="51.95" customHeight="1" thickBot="1">
      <c r="A21" s="95" t="s">
        <v>206</v>
      </c>
      <c r="B21" s="216"/>
      <c r="C21" s="217"/>
      <c r="D21" s="218"/>
    </row>
    <row r="22" spans="1:4" ht="17.25" thickBot="1">
      <c r="A22" s="5"/>
      <c r="B22" s="5"/>
      <c r="C22" s="5"/>
      <c r="D22" s="5"/>
    </row>
    <row r="23" spans="1:4" ht="17.25" thickBot="1">
      <c r="A23" s="93" t="s">
        <v>186</v>
      </c>
      <c r="B23" s="219" t="s">
        <v>196</v>
      </c>
      <c r="C23" s="219"/>
      <c r="D23" s="220"/>
    </row>
    <row r="24" spans="1:4" ht="33">
      <c r="A24" s="50" t="s">
        <v>189</v>
      </c>
      <c r="B24" s="214" t="s">
        <v>192</v>
      </c>
      <c r="C24" s="214"/>
      <c r="D24" s="215"/>
    </row>
    <row r="25" spans="1:4">
      <c r="A25" s="94" t="s">
        <v>187</v>
      </c>
      <c r="B25" s="229"/>
      <c r="C25" s="229"/>
      <c r="D25" s="230"/>
    </row>
    <row r="26" spans="1:4" ht="51.95" customHeight="1" thickBot="1">
      <c r="A26" s="95" t="s">
        <v>210</v>
      </c>
      <c r="B26" s="216"/>
      <c r="C26" s="217"/>
      <c r="D26" s="218"/>
    </row>
    <row r="27" spans="1:4" ht="17.25" thickBot="1">
      <c r="A27" s="5"/>
    </row>
    <row r="28" spans="1:4" ht="17.25" thickBot="1">
      <c r="A28" s="93" t="s">
        <v>186</v>
      </c>
      <c r="B28" s="219" t="s">
        <v>196</v>
      </c>
      <c r="C28" s="219"/>
      <c r="D28" s="220"/>
    </row>
    <row r="29" spans="1:4">
      <c r="A29" s="93" t="s">
        <v>185</v>
      </c>
      <c r="B29" s="214" t="s">
        <v>197</v>
      </c>
      <c r="C29" s="214"/>
      <c r="D29" s="215"/>
    </row>
    <row r="30" spans="1:4">
      <c r="A30" s="94" t="s">
        <v>187</v>
      </c>
      <c r="B30" s="224"/>
      <c r="C30" s="225"/>
      <c r="D30" s="226"/>
    </row>
    <row r="31" spans="1:4" ht="51.95" customHeight="1" thickBot="1">
      <c r="A31" s="95" t="s">
        <v>209</v>
      </c>
      <c r="B31" s="216"/>
      <c r="C31" s="217"/>
      <c r="D31" s="218"/>
    </row>
  </sheetData>
  <sheetProtection selectLockedCells="1"/>
  <mergeCells count="29">
    <mergeCell ref="A1:D1"/>
    <mergeCell ref="B3:B4"/>
    <mergeCell ref="B5:B6"/>
    <mergeCell ref="B7:B8"/>
    <mergeCell ref="B9:B10"/>
    <mergeCell ref="C3:C4"/>
    <mergeCell ref="C5:C6"/>
    <mergeCell ref="C9:C10"/>
    <mergeCell ref="C7:C8"/>
    <mergeCell ref="A3:A4"/>
    <mergeCell ref="A5:A6"/>
    <mergeCell ref="A7:A8"/>
    <mergeCell ref="A9:A10"/>
    <mergeCell ref="B29:D29"/>
    <mergeCell ref="B31:D31"/>
    <mergeCell ref="B13:D13"/>
    <mergeCell ref="B16:D16"/>
    <mergeCell ref="B21:D21"/>
    <mergeCell ref="B26:D26"/>
    <mergeCell ref="B30:D30"/>
    <mergeCell ref="B15:D15"/>
    <mergeCell ref="B19:D19"/>
    <mergeCell ref="B20:D20"/>
    <mergeCell ref="B24:D24"/>
    <mergeCell ref="B25:D25"/>
    <mergeCell ref="B18:D18"/>
    <mergeCell ref="B23:D23"/>
    <mergeCell ref="B28:D28"/>
    <mergeCell ref="B14:D14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zoomScale="84" zoomScaleNormal="84" workbookViewId="0">
      <selection activeCell="H23" sqref="H23"/>
    </sheetView>
  </sheetViews>
  <sheetFormatPr defaultColWidth="8.75" defaultRowHeight="16.5"/>
  <cols>
    <col min="1" max="1" width="21.75" customWidth="1"/>
    <col min="2" max="2" width="14.25" customWidth="1"/>
    <col min="3" max="3" width="11.375" customWidth="1"/>
    <col min="4" max="4" width="12" customWidth="1"/>
    <col min="5" max="5" width="14.125" customWidth="1"/>
    <col min="6" max="6" width="8.25" customWidth="1"/>
    <col min="7" max="7" width="16.5" customWidth="1"/>
    <col min="8" max="8" width="23.625" customWidth="1"/>
  </cols>
  <sheetData>
    <row r="1" spans="1:10">
      <c r="A1" s="245" t="s">
        <v>291</v>
      </c>
      <c r="B1" s="246"/>
      <c r="C1" s="246"/>
      <c r="D1" s="246"/>
      <c r="E1" s="247"/>
      <c r="F1" s="105"/>
      <c r="G1" s="245" t="s">
        <v>286</v>
      </c>
      <c r="H1" s="247"/>
    </row>
    <row r="2" spans="1:10">
      <c r="A2" s="106"/>
      <c r="B2" s="107" t="s">
        <v>241</v>
      </c>
      <c r="C2" s="107" t="s">
        <v>257</v>
      </c>
      <c r="D2" s="107" t="s">
        <v>108</v>
      </c>
      <c r="E2" s="108" t="s">
        <v>242</v>
      </c>
      <c r="F2" s="105"/>
      <c r="G2" s="109"/>
      <c r="H2" s="108" t="s">
        <v>246</v>
      </c>
    </row>
    <row r="3" spans="1:10">
      <c r="A3" s="110" t="s">
        <v>238</v>
      </c>
      <c r="B3" s="111"/>
      <c r="C3" s="112" t="s">
        <v>152</v>
      </c>
      <c r="D3" s="113"/>
      <c r="E3" s="114">
        <f>B3*D3</f>
        <v>0</v>
      </c>
      <c r="F3" s="115"/>
      <c r="G3" s="116" t="s">
        <v>244</v>
      </c>
      <c r="H3" s="117"/>
    </row>
    <row r="4" spans="1:10">
      <c r="A4" s="118" t="s">
        <v>235</v>
      </c>
      <c r="B4" s="111"/>
      <c r="C4" s="112" t="s">
        <v>240</v>
      </c>
      <c r="D4" s="113"/>
      <c r="E4" s="114">
        <f>B4*D4</f>
        <v>0</v>
      </c>
      <c r="F4" s="115"/>
      <c r="G4" s="116" t="s">
        <v>245</v>
      </c>
      <c r="H4" s="117"/>
    </row>
    <row r="5" spans="1:10">
      <c r="A5" s="110" t="s">
        <v>239</v>
      </c>
      <c r="B5" s="111"/>
      <c r="C5" s="112" t="s">
        <v>243</v>
      </c>
      <c r="D5" s="113"/>
      <c r="E5" s="114" t="e">
        <f>B5/D5</f>
        <v>#DIV/0!</v>
      </c>
      <c r="F5" s="115"/>
      <c r="G5" s="116" t="s">
        <v>275</v>
      </c>
      <c r="H5" s="117"/>
    </row>
    <row r="6" spans="1:10">
      <c r="A6" s="119" t="s">
        <v>250</v>
      </c>
      <c r="B6" s="111"/>
      <c r="C6" s="112"/>
      <c r="D6" s="120"/>
      <c r="E6" s="114">
        <f>B6</f>
        <v>0</v>
      </c>
      <c r="F6" s="115"/>
      <c r="G6" s="116" t="s">
        <v>280</v>
      </c>
      <c r="H6" s="117"/>
      <c r="J6" s="55"/>
    </row>
    <row r="7" spans="1:10">
      <c r="A7" s="118" t="s">
        <v>237</v>
      </c>
      <c r="B7" s="111"/>
      <c r="C7" s="112"/>
      <c r="D7" s="120"/>
      <c r="E7" s="114">
        <f>B7</f>
        <v>0</v>
      </c>
      <c r="F7" s="115"/>
      <c r="G7" s="116" t="s">
        <v>281</v>
      </c>
      <c r="H7" s="121">
        <f>SUM(H3:H6)</f>
        <v>0</v>
      </c>
    </row>
    <row r="8" spans="1:10" ht="17.25" thickBot="1">
      <c r="A8" s="122" t="s">
        <v>252</v>
      </c>
      <c r="B8" s="251" t="e">
        <f>SUM(E3:E7)</f>
        <v>#DIV/0!</v>
      </c>
      <c r="C8" s="252"/>
      <c r="D8" s="252"/>
      <c r="E8" s="253"/>
      <c r="F8" s="115"/>
      <c r="G8" s="123" t="s">
        <v>276</v>
      </c>
      <c r="H8" s="124" t="e">
        <f>B8-H7</f>
        <v>#DIV/0!</v>
      </c>
    </row>
    <row r="9" spans="1:10">
      <c r="A9" s="125"/>
      <c r="B9" s="39"/>
      <c r="C9" s="39"/>
      <c r="D9" s="39"/>
      <c r="E9" s="115"/>
      <c r="F9" s="115"/>
      <c r="G9" s="39"/>
      <c r="H9" s="39"/>
    </row>
    <row r="10" spans="1:10" ht="17.25" thickBot="1">
      <c r="A10" s="39"/>
      <c r="B10" s="39"/>
      <c r="C10" s="39"/>
      <c r="D10" s="39"/>
      <c r="E10" s="39"/>
      <c r="F10" s="39"/>
      <c r="G10" s="39"/>
      <c r="H10" s="39"/>
    </row>
    <row r="11" spans="1:10">
      <c r="A11" s="245" t="s">
        <v>288</v>
      </c>
      <c r="B11" s="246"/>
      <c r="C11" s="246"/>
      <c r="D11" s="246"/>
      <c r="E11" s="247"/>
      <c r="F11" s="39"/>
      <c r="G11" s="245" t="s">
        <v>287</v>
      </c>
      <c r="H11" s="247"/>
    </row>
    <row r="12" spans="1:10">
      <c r="A12" s="106"/>
      <c r="B12" s="107" t="s">
        <v>253</v>
      </c>
      <c r="C12" s="107" t="s">
        <v>260</v>
      </c>
      <c r="D12" s="107" t="s">
        <v>254</v>
      </c>
      <c r="E12" s="108" t="s">
        <v>255</v>
      </c>
      <c r="F12" s="39"/>
      <c r="G12" s="109" t="s">
        <v>274</v>
      </c>
      <c r="H12" s="108" t="s">
        <v>273</v>
      </c>
    </row>
    <row r="13" spans="1:10">
      <c r="A13" s="110" t="s">
        <v>262</v>
      </c>
      <c r="B13" s="126"/>
      <c r="C13" s="112" t="s">
        <v>258</v>
      </c>
      <c r="D13" s="127"/>
      <c r="E13" s="114">
        <f>B13*D13</f>
        <v>0</v>
      </c>
      <c r="F13" s="39"/>
      <c r="G13" s="116" t="s">
        <v>270</v>
      </c>
      <c r="H13" s="117"/>
    </row>
    <row r="14" spans="1:10">
      <c r="A14" s="110" t="s">
        <v>249</v>
      </c>
      <c r="B14" s="126"/>
      <c r="C14" s="112" t="s">
        <v>261</v>
      </c>
      <c r="D14" s="127"/>
      <c r="E14" s="114">
        <f>B14*D14</f>
        <v>0</v>
      </c>
      <c r="F14" s="39"/>
      <c r="G14" s="116" t="s">
        <v>271</v>
      </c>
      <c r="H14" s="117"/>
    </row>
    <row r="15" spans="1:10">
      <c r="A15" s="118" t="s">
        <v>235</v>
      </c>
      <c r="B15" s="126"/>
      <c r="C15" s="112" t="s">
        <v>258</v>
      </c>
      <c r="D15" s="127"/>
      <c r="E15" s="114">
        <f>B15*D15</f>
        <v>0</v>
      </c>
      <c r="F15" s="39"/>
      <c r="G15" s="116" t="s">
        <v>272</v>
      </c>
      <c r="H15" s="117"/>
    </row>
    <row r="16" spans="1:10">
      <c r="A16" s="110" t="s">
        <v>236</v>
      </c>
      <c r="B16" s="126"/>
      <c r="C16" s="112" t="s">
        <v>259</v>
      </c>
      <c r="D16" s="127"/>
      <c r="E16" s="114" t="e">
        <f>B16/D16</f>
        <v>#DIV/0!</v>
      </c>
      <c r="F16" s="39"/>
      <c r="G16" s="116" t="s">
        <v>282</v>
      </c>
      <c r="H16" s="121">
        <f>SUM(H13:H15)</f>
        <v>0</v>
      </c>
    </row>
    <row r="17" spans="1:8" ht="17.25" thickBot="1">
      <c r="A17" s="119" t="s">
        <v>251</v>
      </c>
      <c r="B17" s="126"/>
      <c r="C17" s="112"/>
      <c r="D17" s="128"/>
      <c r="E17" s="114">
        <f>B17</f>
        <v>0</v>
      </c>
      <c r="F17" s="39"/>
      <c r="G17" s="123" t="s">
        <v>279</v>
      </c>
      <c r="H17" s="124" t="e">
        <f>B18-H16</f>
        <v>#DIV/0!</v>
      </c>
    </row>
    <row r="18" spans="1:8" ht="17.25" thickBot="1">
      <c r="A18" s="122" t="s">
        <v>256</v>
      </c>
      <c r="B18" s="251" t="e">
        <f>SUM(E13:E17)</f>
        <v>#DIV/0!</v>
      </c>
      <c r="C18" s="252"/>
      <c r="D18" s="252"/>
      <c r="E18" s="253"/>
      <c r="F18" s="39"/>
      <c r="G18" s="39"/>
      <c r="H18" s="39"/>
    </row>
    <row r="19" spans="1:8">
      <c r="A19" s="125"/>
      <c r="B19" s="115"/>
      <c r="C19" s="39"/>
      <c r="D19" s="129"/>
      <c r="E19" s="115"/>
      <c r="F19" s="39"/>
      <c r="G19" s="39"/>
      <c r="H19" s="39"/>
    </row>
    <row r="20" spans="1:8" ht="17.25" thickBot="1">
      <c r="A20" s="125"/>
      <c r="B20" s="115"/>
      <c r="C20" s="39"/>
      <c r="D20" s="129"/>
      <c r="E20" s="115"/>
      <c r="F20" s="39"/>
      <c r="G20" s="39"/>
      <c r="H20" s="39"/>
    </row>
    <row r="21" spans="1:8">
      <c r="A21" s="248" t="s">
        <v>289</v>
      </c>
      <c r="B21" s="249"/>
      <c r="C21" s="249"/>
      <c r="D21" s="249"/>
      <c r="E21" s="250"/>
      <c r="F21" s="39"/>
      <c r="G21" s="245" t="s">
        <v>290</v>
      </c>
      <c r="H21" s="247"/>
    </row>
    <row r="22" spans="1:8">
      <c r="A22" s="109"/>
      <c r="B22" s="107" t="s">
        <v>264</v>
      </c>
      <c r="C22" s="107" t="s">
        <v>265</v>
      </c>
      <c r="D22" s="107" t="s">
        <v>2</v>
      </c>
      <c r="E22" s="108" t="s">
        <v>266</v>
      </c>
      <c r="F22" s="39"/>
      <c r="G22" s="109" t="s">
        <v>284</v>
      </c>
      <c r="H22" s="130" t="s">
        <v>285</v>
      </c>
    </row>
    <row r="23" spans="1:8">
      <c r="A23" s="116" t="s">
        <v>247</v>
      </c>
      <c r="B23" s="131">
        <f>Step3收支與資產負債表!B4/365</f>
        <v>0</v>
      </c>
      <c r="C23" s="131">
        <f>Step3收支與資產負債表!B5/365</f>
        <v>0</v>
      </c>
      <c r="D23" s="131"/>
      <c r="E23" s="132"/>
      <c r="F23" s="39"/>
      <c r="G23" s="116" t="s">
        <v>283</v>
      </c>
      <c r="H23" s="117"/>
    </row>
    <row r="24" spans="1:8">
      <c r="A24" s="116" t="s">
        <v>269</v>
      </c>
      <c r="B24" s="126"/>
      <c r="C24" s="126"/>
      <c r="D24" s="126"/>
      <c r="E24" s="133"/>
      <c r="F24" s="39"/>
      <c r="G24" s="116" t="s">
        <v>267</v>
      </c>
      <c r="H24" s="117"/>
    </row>
    <row r="25" spans="1:8">
      <c r="A25" s="116" t="s">
        <v>248</v>
      </c>
      <c r="B25" s="126"/>
      <c r="C25" s="126"/>
      <c r="D25" s="126"/>
      <c r="E25" s="133"/>
      <c r="F25" s="39"/>
      <c r="G25" s="116" t="s">
        <v>268</v>
      </c>
      <c r="H25" s="117"/>
    </row>
    <row r="26" spans="1:8" ht="17.25" thickBot="1">
      <c r="A26" s="123" t="s">
        <v>263</v>
      </c>
      <c r="B26" s="134">
        <f>SUM(B23:B25)</f>
        <v>0</v>
      </c>
      <c r="C26" s="134">
        <f t="shared" ref="C26:E26" si="0">SUM(C23:C25)</f>
        <v>0</v>
      </c>
      <c r="D26" s="134">
        <f t="shared" si="0"/>
        <v>0</v>
      </c>
      <c r="E26" s="134">
        <f t="shared" si="0"/>
        <v>0</v>
      </c>
      <c r="F26" s="39"/>
      <c r="G26" s="116" t="s">
        <v>277</v>
      </c>
      <c r="H26" s="121">
        <f>SUM(H22:H24)</f>
        <v>0</v>
      </c>
    </row>
    <row r="27" spans="1:8" ht="17.25" thickBot="1">
      <c r="A27" s="39"/>
      <c r="B27" s="39"/>
      <c r="C27" s="39"/>
      <c r="D27" s="39"/>
      <c r="E27" s="39"/>
      <c r="F27" s="39"/>
      <c r="G27" s="123" t="s">
        <v>278</v>
      </c>
      <c r="H27" s="124">
        <f>B26-H26</f>
        <v>0</v>
      </c>
    </row>
  </sheetData>
  <sheetProtection selectLockedCells="1"/>
  <mergeCells count="8">
    <mergeCell ref="A1:E1"/>
    <mergeCell ref="G1:H1"/>
    <mergeCell ref="A11:E11"/>
    <mergeCell ref="G11:H11"/>
    <mergeCell ref="A21:E21"/>
    <mergeCell ref="G21:H21"/>
    <mergeCell ref="B8:E8"/>
    <mergeCell ref="B18:E18"/>
  </mergeCells>
  <phoneticPr fontId="1" type="noConversion"/>
  <pageMargins left="0.25" right="0.25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32"/>
  <sheetViews>
    <sheetView zoomScale="70" zoomScaleNormal="70" workbookViewId="0">
      <selection activeCell="A33" sqref="A33"/>
    </sheetView>
  </sheetViews>
  <sheetFormatPr defaultColWidth="8.75" defaultRowHeight="16.5"/>
  <cols>
    <col min="1" max="1" width="26.875" style="6" customWidth="1"/>
    <col min="2" max="2" width="20" style="6" customWidth="1"/>
    <col min="3" max="3" width="16.875" style="6" customWidth="1"/>
    <col min="4" max="4" width="20.625" style="6" customWidth="1"/>
    <col min="5" max="6" width="8.75" style="6"/>
    <col min="7" max="7" width="22.875" style="6" customWidth="1"/>
    <col min="8" max="8" width="16.125" style="12" customWidth="1"/>
    <col min="9" max="9" width="11.75" style="6" customWidth="1"/>
    <col min="10" max="10" width="23.875" style="6" customWidth="1"/>
    <col min="11" max="11" width="8.75" style="6"/>
    <col min="12" max="12" width="21.125" style="6" customWidth="1"/>
    <col min="13" max="13" width="17.125" style="6" customWidth="1"/>
    <col min="14" max="14" width="11.875" style="6" customWidth="1"/>
    <col min="15" max="15" width="24.125" style="6" customWidth="1"/>
    <col min="16" max="16384" width="8.75" style="6"/>
  </cols>
  <sheetData>
    <row r="2" spans="1:14">
      <c r="A2" s="255" t="s">
        <v>48</v>
      </c>
      <c r="B2" s="255"/>
      <c r="C2" s="255"/>
      <c r="D2" s="255"/>
    </row>
    <row r="3" spans="1:14">
      <c r="A3" s="97" t="s">
        <v>46</v>
      </c>
      <c r="B3" s="135" t="str">
        <f>Step1基本資料輸入!B8</f>
        <v>大兒子</v>
      </c>
      <c r="C3" s="135" t="str">
        <f>Step1基本資料輸入!B9</f>
        <v>小女兒</v>
      </c>
      <c r="D3" s="135">
        <f>Step1基本資料輸入!B10</f>
        <v>0</v>
      </c>
    </row>
    <row r="4" spans="1:14">
      <c r="A4" s="143" t="s">
        <v>4</v>
      </c>
      <c r="B4" s="137">
        <f>Step1基本資料輸入!E8</f>
        <v>12</v>
      </c>
      <c r="C4" s="137">
        <f>Step1基本資料輸入!E9</f>
        <v>9</v>
      </c>
      <c r="D4" s="138">
        <f>Step1基本資料輸入!E10</f>
        <v>0</v>
      </c>
    </row>
    <row r="5" spans="1:14">
      <c r="A5" s="143" t="s">
        <v>47</v>
      </c>
      <c r="B5" s="137">
        <f>18-B4</f>
        <v>6</v>
      </c>
      <c r="C5" s="137">
        <f>18-C4</f>
        <v>9</v>
      </c>
      <c r="D5" s="138">
        <f>18-D4</f>
        <v>18</v>
      </c>
    </row>
    <row r="6" spans="1:14">
      <c r="A6" s="143" t="s">
        <v>195</v>
      </c>
      <c r="B6" s="139">
        <f>FV(Step1基本資料輸入!D19,B5,0,-C17)</f>
        <v>0</v>
      </c>
      <c r="C6" s="139">
        <f>FV(Step1基本資料輸入!D19,C5,0,-C25)</f>
        <v>0</v>
      </c>
      <c r="D6" s="139">
        <f>FV(Step1基本資料輸入!D19,D5,0,-C32)</f>
        <v>0</v>
      </c>
    </row>
    <row r="7" spans="1:14">
      <c r="A7" s="143" t="s">
        <v>51</v>
      </c>
      <c r="B7" s="8"/>
      <c r="C7" s="8"/>
      <c r="D7" s="8"/>
    </row>
    <row r="8" spans="1:14">
      <c r="A8" s="143" t="s">
        <v>49</v>
      </c>
      <c r="B8" s="139">
        <f>B6-B7</f>
        <v>0</v>
      </c>
      <c r="C8" s="139">
        <f>C6-C7</f>
        <v>0</v>
      </c>
      <c r="D8" s="139">
        <f>D6-D7</f>
        <v>0</v>
      </c>
    </row>
    <row r="9" spans="1:14">
      <c r="A9" s="143" t="s">
        <v>45</v>
      </c>
      <c r="B9" s="139">
        <f>PMT(Step1基本資料輸入!D19,B5,0,-B8)</f>
        <v>0</v>
      </c>
      <c r="C9" s="139">
        <f>PMT(Step1基本資料輸入!D19,C5,0,-C8)</f>
        <v>0</v>
      </c>
      <c r="D9" s="139">
        <f>PMT(Step1基本資料輸入!D19,D5,0,-D8)</f>
        <v>0</v>
      </c>
    </row>
    <row r="10" spans="1:14">
      <c r="A10" s="143" t="s">
        <v>74</v>
      </c>
      <c r="B10" s="139">
        <f>B9/12</f>
        <v>0</v>
      </c>
      <c r="C10" s="139">
        <f>C9/12</f>
        <v>0</v>
      </c>
      <c r="D10" s="139">
        <f>D9/12</f>
        <v>0</v>
      </c>
    </row>
    <row r="12" spans="1:14">
      <c r="A12" s="256" t="str">
        <f>B3</f>
        <v>大兒子</v>
      </c>
      <c r="B12" s="256"/>
      <c r="C12" s="256"/>
      <c r="D12" s="256"/>
    </row>
    <row r="13" spans="1:14">
      <c r="A13" s="254" t="s">
        <v>115</v>
      </c>
      <c r="B13" s="254"/>
      <c r="C13" s="140" t="s">
        <v>103</v>
      </c>
      <c r="D13" s="141" t="s">
        <v>194</v>
      </c>
    </row>
    <row r="14" spans="1:14">
      <c r="A14" s="142" t="s">
        <v>119</v>
      </c>
      <c r="B14" s="7" t="s">
        <v>219</v>
      </c>
      <c r="C14" s="9"/>
      <c r="D14" s="38">
        <f>IF(B14=參數表!D3,參數表!E3,IF(B14=參數表!D4,參數表!E4,IF(B14=參數表!D5,參數表!E5,IF(B14=參數表!D6,參數表!E6))))</f>
        <v>800000</v>
      </c>
      <c r="N14"/>
    </row>
    <row r="15" spans="1:14">
      <c r="A15" s="142" t="s">
        <v>121</v>
      </c>
      <c r="B15" s="7" t="s">
        <v>193</v>
      </c>
      <c r="C15" s="9"/>
      <c r="D15" s="38">
        <f>IF(B15=參數表!D7,參數表!E7,IF(B15=參數表!D8,參數表!E8,IF(B15=參數表!D9,參數表!E9)))</f>
        <v>300000</v>
      </c>
    </row>
    <row r="16" spans="1:14">
      <c r="A16" s="142" t="s">
        <v>120</v>
      </c>
      <c r="B16" s="7" t="s">
        <v>106</v>
      </c>
      <c r="C16" s="9"/>
      <c r="D16" s="38">
        <f>IF(B16=參數表!D9,參數表!E9)</f>
        <v>100000</v>
      </c>
    </row>
    <row r="17" spans="1:8">
      <c r="A17" s="142"/>
      <c r="B17" s="7" t="s">
        <v>117</v>
      </c>
      <c r="C17" s="257">
        <f>SUM(D14*C14+D15*C15+D16*C16)</f>
        <v>0</v>
      </c>
      <c r="D17" s="258"/>
    </row>
    <row r="18" spans="1:8">
      <c r="B18" s="12"/>
      <c r="D18" s="11"/>
    </row>
    <row r="19" spans="1:8">
      <c r="B19" s="12"/>
      <c r="D19" s="11"/>
    </row>
    <row r="20" spans="1:8">
      <c r="A20" s="261" t="str">
        <f>C3</f>
        <v>小女兒</v>
      </c>
      <c r="B20" s="262"/>
      <c r="C20" s="262"/>
      <c r="D20" s="263"/>
    </row>
    <row r="21" spans="1:8">
      <c r="A21" s="259" t="s">
        <v>115</v>
      </c>
      <c r="B21" s="260"/>
      <c r="C21" s="140" t="s">
        <v>103</v>
      </c>
      <c r="D21" s="141" t="s">
        <v>194</v>
      </c>
    </row>
    <row r="22" spans="1:8">
      <c r="A22" s="143" t="s">
        <v>119</v>
      </c>
      <c r="B22" s="7" t="s">
        <v>222</v>
      </c>
      <c r="C22" s="9"/>
      <c r="D22" s="38">
        <f>IF(B22=參數表!D3,參數表!E3,IF(B22=參數表!D4,參數表!E4,IF(B22=參數表!D5,參數表!E5,IF(B22=參數表!D6,參數表!E6))))</f>
        <v>109994</v>
      </c>
      <c r="H22" s="6"/>
    </row>
    <row r="23" spans="1:8">
      <c r="A23" s="143" t="s">
        <v>121</v>
      </c>
      <c r="B23" s="7" t="s">
        <v>193</v>
      </c>
      <c r="C23" s="9"/>
      <c r="D23" s="38">
        <f>IF(B23=參數表!D7,參數表!E7,IF(B23=參數表!D8,參數表!E8,))</f>
        <v>300000</v>
      </c>
    </row>
    <row r="24" spans="1:8">
      <c r="A24" s="143" t="s">
        <v>120</v>
      </c>
      <c r="B24" s="7" t="s">
        <v>106</v>
      </c>
      <c r="C24" s="9"/>
      <c r="D24" s="38">
        <f>IF(B24=參數表!D9,參數表!E9)</f>
        <v>100000</v>
      </c>
    </row>
    <row r="25" spans="1:8">
      <c r="A25" s="143"/>
      <c r="B25" s="7" t="s">
        <v>118</v>
      </c>
      <c r="C25" s="40">
        <f>SUM(D22*C22+D23*C23+D24*C24)</f>
        <v>0</v>
      </c>
      <c r="D25" s="41"/>
    </row>
    <row r="26" spans="1:8">
      <c r="C26" s="12"/>
    </row>
    <row r="27" spans="1:8">
      <c r="A27" s="256">
        <f>D3</f>
        <v>0</v>
      </c>
      <c r="B27" s="256"/>
      <c r="C27" s="256"/>
      <c r="D27" s="256"/>
    </row>
    <row r="28" spans="1:8">
      <c r="A28" s="254" t="s">
        <v>115</v>
      </c>
      <c r="B28" s="254"/>
      <c r="C28" s="140" t="s">
        <v>103</v>
      </c>
      <c r="D28" s="141" t="s">
        <v>194</v>
      </c>
    </row>
    <row r="29" spans="1:8">
      <c r="A29" s="143" t="s">
        <v>119</v>
      </c>
      <c r="B29" s="7" t="s">
        <v>111</v>
      </c>
      <c r="C29" s="9"/>
      <c r="D29" s="38">
        <f>IF(B29=參數表!D3,參數表!E3,IF(B29=參數表!D4,參數表!E4,IF(B29=參數表!D12,參數表!E12,IF(B29=參數表!D13,參數表!E13,))))</f>
        <v>58726</v>
      </c>
    </row>
    <row r="30" spans="1:8">
      <c r="A30" s="143" t="s">
        <v>121</v>
      </c>
      <c r="B30" s="7" t="s">
        <v>193</v>
      </c>
      <c r="C30" s="9"/>
      <c r="D30" s="38">
        <f>IF(B30=參數表!D7,參數表!E7,IF(B30=參數表!D8,參數表!E8))</f>
        <v>300000</v>
      </c>
    </row>
    <row r="31" spans="1:8">
      <c r="A31" s="143" t="s">
        <v>120</v>
      </c>
      <c r="B31" s="7" t="s">
        <v>106</v>
      </c>
      <c r="C31" s="9"/>
      <c r="D31" s="38">
        <f>IF(B31=參數表!D9,參數表!E9)</f>
        <v>100000</v>
      </c>
    </row>
    <row r="32" spans="1:8">
      <c r="A32" s="143"/>
      <c r="B32" s="7" t="s">
        <v>117</v>
      </c>
      <c r="C32" s="257">
        <f>SUM(D29*C29+D30*C30+D31*C31)</f>
        <v>0</v>
      </c>
      <c r="D32" s="258"/>
    </row>
  </sheetData>
  <sheetProtection selectLockedCells="1"/>
  <mergeCells count="9">
    <mergeCell ref="A13:B13"/>
    <mergeCell ref="A2:D2"/>
    <mergeCell ref="A12:D12"/>
    <mergeCell ref="C32:D32"/>
    <mergeCell ref="C17:D17"/>
    <mergeCell ref="A21:B21"/>
    <mergeCell ref="A27:D27"/>
    <mergeCell ref="A28:B28"/>
    <mergeCell ref="A20:D20"/>
  </mergeCells>
  <phoneticPr fontId="1" type="noConversion"/>
  <pageMargins left="0.7" right="0.7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參數表!$B$3:$B$9</xm:f>
          </x14:formula1>
          <xm:sqref>C29:C31</xm:sqref>
        </x14:dataValidation>
        <x14:dataValidation type="list" allowBlank="1" showInputMessage="1" showErrorMessage="1" xr:uid="{00000000-0002-0000-0500-000001000000}">
          <x14:formula1>
            <xm:f>參數表!$D$3:$D$6</xm:f>
          </x14:formula1>
          <xm:sqref>B22 B14 B29</xm:sqref>
        </x14:dataValidation>
        <x14:dataValidation type="list" allowBlank="1" showInputMessage="1" showErrorMessage="1" xr:uid="{00000000-0002-0000-0500-000002000000}">
          <x14:formula1>
            <xm:f>參數表!$B$3:$B$10</xm:f>
          </x14:formula1>
          <xm:sqref>C14:C16 C22:C24</xm:sqref>
        </x14:dataValidation>
        <x14:dataValidation type="list" allowBlank="1" showInputMessage="1" showErrorMessage="1" xr:uid="{00000000-0002-0000-0500-000003000000}">
          <x14:formula1>
            <xm:f>參數表!$D$7:$D$8</xm:f>
          </x14:formula1>
          <xm:sqref>B15 B23 B30</xm:sqref>
        </x14:dataValidation>
        <x14:dataValidation type="list" allowBlank="1" showInputMessage="1" showErrorMessage="1" xr:uid="{00000000-0002-0000-0500-000004000000}">
          <x14:formula1>
            <xm:f>參數表!$D$9</xm:f>
          </x14:formula1>
          <xm:sqref>B16 B24 B31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2" sqref="A12"/>
    </sheetView>
  </sheetViews>
  <sheetFormatPr defaultRowHeight="16.5"/>
  <cols>
    <col min="1" max="1" width="24.875" customWidth="1"/>
    <col min="2" max="2" width="25.125" customWidth="1"/>
    <col min="3" max="3" width="26.375" customWidth="1"/>
    <col min="5" max="5" width="16" customWidth="1"/>
    <col min="6" max="6" width="13.5" customWidth="1"/>
    <col min="7" max="7" width="14.125" customWidth="1"/>
    <col min="8" max="8" width="13.125" customWidth="1"/>
  </cols>
  <sheetData>
    <row r="1" spans="1:5">
      <c r="A1" s="55"/>
      <c r="B1" s="55"/>
      <c r="C1" s="55"/>
    </row>
    <row r="2" spans="1:5">
      <c r="A2" s="264" t="s">
        <v>41</v>
      </c>
      <c r="B2" s="264"/>
      <c r="C2" s="264"/>
    </row>
    <row r="3" spans="1:5">
      <c r="A3" s="60" t="s">
        <v>68</v>
      </c>
      <c r="B3" s="76" t="str">
        <f>Step1基本資料輸入!B4</f>
        <v>S先生</v>
      </c>
      <c r="C3" s="76" t="str">
        <f>Step1基本資料輸入!B5</f>
        <v>Y小姐</v>
      </c>
    </row>
    <row r="4" spans="1:5">
      <c r="A4" s="144" t="s">
        <v>42</v>
      </c>
      <c r="B4" s="100">
        <f>Step1基本資料輸入!B19-Step1基本資料輸入!E4</f>
        <v>30</v>
      </c>
      <c r="C4" s="100">
        <f>Step1基本資料輸入!B20-Step1基本資料輸入!E5</f>
        <v>31</v>
      </c>
    </row>
    <row r="5" spans="1:5">
      <c r="A5" s="144" t="s">
        <v>43</v>
      </c>
      <c r="B5" s="100">
        <f>Step1基本資料輸入!C19</f>
        <v>25</v>
      </c>
      <c r="C5" s="100">
        <f>Step1基本資料輸入!C20</f>
        <v>25</v>
      </c>
      <c r="E5" s="99"/>
    </row>
    <row r="6" spans="1:5">
      <c r="A6" s="144" t="s">
        <v>300</v>
      </c>
      <c r="B6" s="101">
        <v>30000</v>
      </c>
      <c r="C6" s="101">
        <v>30000</v>
      </c>
      <c r="E6" s="99"/>
    </row>
    <row r="7" spans="1:5">
      <c r="A7" s="144" t="s">
        <v>301</v>
      </c>
      <c r="B7" s="145">
        <f>FV(Step1基本資料輸入!D19,Step1基本資料輸入!B19-Step1基本資料輸入!E4,0,-B6)</f>
        <v>72817.874135689766</v>
      </c>
      <c r="C7" s="145">
        <f>FV(Step1基本資料輸入!D20,Step1基本資料輸入!B19-Step1基本資料輸入!E5,0,-C6)</f>
        <v>75002.410359760484</v>
      </c>
      <c r="E7" s="99"/>
    </row>
    <row r="8" spans="1:5">
      <c r="A8" s="144" t="s">
        <v>44</v>
      </c>
      <c r="B8" s="145">
        <f>PV(Step1基本資料輸入!F19/12-Step1基本資料輸入!D19/12,Step1基本資料輸入!C19*12,-B7,0,1)</f>
        <v>21845362.240706928</v>
      </c>
      <c r="C8" s="145">
        <f>PV(Step1基本資料輸入!F20/12-Step1基本資料輸入!D20/12,Step1基本資料輸入!C19*12,-C7,0,1)</f>
        <v>22500723.107928146</v>
      </c>
      <c r="E8" s="99"/>
    </row>
    <row r="9" spans="1:5">
      <c r="A9" s="144" t="s">
        <v>201</v>
      </c>
      <c r="B9" s="101"/>
      <c r="C9" s="101"/>
      <c r="E9" s="99"/>
    </row>
    <row r="10" spans="1:5">
      <c r="A10" s="144" t="s">
        <v>200</v>
      </c>
      <c r="B10" s="145">
        <f>FV(Step1基本資料輸入!D19,B4,,-B9)</f>
        <v>0</v>
      </c>
      <c r="C10" s="145">
        <f>FV(Step1基本資料輸入!D20,C4,,-C9)</f>
        <v>0</v>
      </c>
    </row>
    <row r="11" spans="1:5">
      <c r="A11" s="144" t="s">
        <v>342</v>
      </c>
      <c r="B11" s="101"/>
      <c r="C11" s="101"/>
      <c r="E11" s="55"/>
    </row>
    <row r="12" spans="1:5">
      <c r="A12" s="144" t="s">
        <v>341</v>
      </c>
      <c r="B12" s="101">
        <v>30000</v>
      </c>
      <c r="C12" s="101">
        <v>30000</v>
      </c>
    </row>
    <row r="13" spans="1:5">
      <c r="A13" s="144" t="s">
        <v>50</v>
      </c>
      <c r="B13" s="145">
        <f>(B8-B10-B11+參數表!D11)</f>
        <v>15519068.640507491</v>
      </c>
      <c r="C13" s="145">
        <f>(C8-C10-C11+參數表!E11)</f>
        <v>16174429.507728709</v>
      </c>
    </row>
    <row r="14" spans="1:5">
      <c r="A14" s="144" t="s">
        <v>45</v>
      </c>
      <c r="B14" s="145">
        <f>PMT(Step1基本資料輸入!E19,B4,0,-B13)</f>
        <v>196299.32564174684</v>
      </c>
      <c r="C14" s="145">
        <f>PMT(Step1基本資料輸入!E20,C4,0,-C13)</f>
        <v>190732.42423848476</v>
      </c>
    </row>
    <row r="15" spans="1:5">
      <c r="A15" s="144" t="s">
        <v>73</v>
      </c>
      <c r="B15" s="145">
        <f>B14/12</f>
        <v>16358.277136812236</v>
      </c>
      <c r="C15" s="145">
        <f>C14/12</f>
        <v>15894.368686540396</v>
      </c>
    </row>
    <row r="16" spans="1:5" ht="17.25" thickBot="1"/>
    <row r="17" spans="1:3">
      <c r="A17" s="265" t="s">
        <v>303</v>
      </c>
      <c r="B17" s="266"/>
      <c r="C17" s="267"/>
    </row>
    <row r="18" spans="1:3">
      <c r="A18" s="146" t="s">
        <v>304</v>
      </c>
      <c r="B18" s="268"/>
      <c r="C18" s="269"/>
    </row>
    <row r="19" spans="1:3">
      <c r="A19" s="146" t="s">
        <v>305</v>
      </c>
      <c r="B19" s="268"/>
      <c r="C19" s="269"/>
    </row>
    <row r="20" spans="1:3" ht="17.25" thickBot="1">
      <c r="A20" s="147" t="s">
        <v>306</v>
      </c>
      <c r="B20" s="216"/>
      <c r="C20" s="218"/>
    </row>
  </sheetData>
  <sheetProtection selectLockedCells="1"/>
  <protectedRanges>
    <protectedRange algorithmName="SHA-512" hashValue="YdftcIcMp8VHo7g17gQGP/JUTXWTCD3+FgTGgTneC017bSiOyWojRKPp38NOAiydH/kNx98fVxaTD6kbcBhrcQ==" saltValue="rE2dCAvh5/rhFI8BWFhBgg==" spinCount="100000" sqref="A2:C5 A6:A7 A8:C8 A10:C10 A11:A15 A9 B13:C15" name="iarfc"/>
  </protectedRanges>
  <mergeCells count="5">
    <mergeCell ref="A2:C2"/>
    <mergeCell ref="A17:C17"/>
    <mergeCell ref="B18:C18"/>
    <mergeCell ref="B19:C19"/>
    <mergeCell ref="B20:C20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26"/>
  <sheetViews>
    <sheetView zoomScale="90" zoomScaleNormal="90" workbookViewId="0">
      <selection activeCell="G4" sqref="G4"/>
    </sheetView>
  </sheetViews>
  <sheetFormatPr defaultColWidth="8.75" defaultRowHeight="16.5"/>
  <cols>
    <col min="1" max="1" width="21.5" style="6" customWidth="1"/>
    <col min="2" max="2" width="19.875" style="6" customWidth="1"/>
    <col min="3" max="3" width="18.875" style="6" customWidth="1"/>
    <col min="4" max="4" width="21.5" style="6" customWidth="1"/>
    <col min="5" max="16384" width="8.75" style="6"/>
  </cols>
  <sheetData>
    <row r="2" spans="1:4">
      <c r="A2" s="255" t="s">
        <v>323</v>
      </c>
      <c r="B2" s="255"/>
      <c r="C2" s="255"/>
      <c r="D2" s="255"/>
    </row>
    <row r="3" spans="1:4">
      <c r="A3" s="140" t="s">
        <v>83</v>
      </c>
      <c r="B3" s="9" t="s">
        <v>319</v>
      </c>
      <c r="C3" s="9" t="s">
        <v>313</v>
      </c>
      <c r="D3" s="9" t="s">
        <v>318</v>
      </c>
    </row>
    <row r="4" spans="1:4">
      <c r="A4" s="143" t="s">
        <v>52</v>
      </c>
      <c r="B4" s="7">
        <v>5</v>
      </c>
      <c r="C4" s="7">
        <v>5</v>
      </c>
      <c r="D4" s="7"/>
    </row>
    <row r="5" spans="1:4">
      <c r="A5" s="143" t="s">
        <v>76</v>
      </c>
      <c r="B5" s="8">
        <v>10000000</v>
      </c>
      <c r="C5" s="8">
        <v>12000000</v>
      </c>
      <c r="D5" s="8"/>
    </row>
    <row r="6" spans="1:4">
      <c r="A6" s="143" t="s">
        <v>77</v>
      </c>
      <c r="B6" s="139">
        <f>FV(Step1基本資料輸入!D19,B4,,-B5)</f>
        <v>11592740.742999999</v>
      </c>
      <c r="C6" s="139">
        <f>FV(Step1基本資料輸入!D19,C4,,-C5)</f>
        <v>13911288.891599998</v>
      </c>
      <c r="D6" s="139">
        <f>FV(Step1基本資料輸入!D19,D4,,-D5)</f>
        <v>0</v>
      </c>
    </row>
    <row r="7" spans="1:4">
      <c r="A7" s="143" t="s">
        <v>339</v>
      </c>
      <c r="B7" s="8">
        <v>2500000</v>
      </c>
      <c r="C7" s="8">
        <v>2500000</v>
      </c>
      <c r="D7" s="8"/>
    </row>
    <row r="8" spans="1:4">
      <c r="A8" s="143" t="s">
        <v>340</v>
      </c>
      <c r="B8" s="139">
        <f>FV(Step1基本資料輸入!E19,B4,,-B7)</f>
        <v>3345563.9440000011</v>
      </c>
      <c r="C8" s="139">
        <f>FV(Step1基本資料輸入!E19,C4,,-C7)</f>
        <v>3345563.9440000011</v>
      </c>
      <c r="D8" s="139">
        <f>FV(Step1基本資料輸入!E19,D4,,-D7)</f>
        <v>0</v>
      </c>
    </row>
    <row r="9" spans="1:4">
      <c r="A9" s="143" t="s">
        <v>81</v>
      </c>
      <c r="B9" s="136">
        <v>0</v>
      </c>
      <c r="C9" s="136">
        <v>0</v>
      </c>
      <c r="D9" s="136"/>
    </row>
    <row r="10" spans="1:4">
      <c r="A10" s="143" t="s">
        <v>82</v>
      </c>
      <c r="B10" s="139">
        <f>FV(Step1基本資料輸入!D19,B4,,-B9)</f>
        <v>0</v>
      </c>
      <c r="C10" s="139">
        <f>FV(Step1基本資料輸入!D19,C4,,-C9)</f>
        <v>0</v>
      </c>
      <c r="D10" s="139">
        <f>FV(Step1基本資料輸入!D19,D4,,-D9)</f>
        <v>0</v>
      </c>
    </row>
    <row r="11" spans="1:4">
      <c r="A11" s="143" t="s">
        <v>312</v>
      </c>
      <c r="B11" s="170">
        <v>0.8</v>
      </c>
      <c r="C11" s="170">
        <v>0.8</v>
      </c>
      <c r="D11" s="170"/>
    </row>
    <row r="12" spans="1:4">
      <c r="A12" s="143" t="s">
        <v>78</v>
      </c>
      <c r="B12" s="138">
        <f>B6*(1-B11)-B8-B10</f>
        <v>-1027015.795400002</v>
      </c>
      <c r="C12" s="138">
        <f>C6*(1-C11)-C8-C10</f>
        <v>-563306.16568000196</v>
      </c>
      <c r="D12" s="138">
        <f>D6*(1-D11)-D8-D10</f>
        <v>0</v>
      </c>
    </row>
    <row r="13" spans="1:4">
      <c r="A13" s="143" t="s">
        <v>79</v>
      </c>
      <c r="B13" s="138">
        <f>PMT(Step1基本資料輸入!E19,B4,,-B12)</f>
        <v>-182188.90528993547</v>
      </c>
      <c r="C13" s="138">
        <f>PMT(Step1基本資料輸入!E19,C4,,-C12)</f>
        <v>-99928.486132327671</v>
      </c>
      <c r="D13" s="138" t="e">
        <f>PMT(Step1基本資料輸入!E19,D4,,-D12)</f>
        <v>#NUM!</v>
      </c>
    </row>
    <row r="14" spans="1:4">
      <c r="A14" s="143" t="s">
        <v>80</v>
      </c>
      <c r="B14" s="138">
        <f>B13/12</f>
        <v>-15182.408774161289</v>
      </c>
      <c r="C14" s="138">
        <f>C13/12</f>
        <v>-8327.3738443606399</v>
      </c>
      <c r="D14" s="138" t="e">
        <f>D13/12</f>
        <v>#NUM!</v>
      </c>
    </row>
    <row r="16" spans="1:4">
      <c r="A16" s="255" t="s">
        <v>324</v>
      </c>
      <c r="B16" s="255"/>
      <c r="C16" s="255"/>
      <c r="D16" s="255"/>
    </row>
    <row r="17" spans="1:4">
      <c r="A17" s="172" t="s">
        <v>328</v>
      </c>
      <c r="B17" s="172" t="s">
        <v>329</v>
      </c>
      <c r="C17" s="172" t="s">
        <v>330</v>
      </c>
      <c r="D17" s="172" t="s">
        <v>331</v>
      </c>
    </row>
    <row r="18" spans="1:4">
      <c r="A18" s="173" t="s">
        <v>325</v>
      </c>
      <c r="B18" s="38">
        <f>B6*B11</f>
        <v>9274192.5943999998</v>
      </c>
      <c r="C18" s="38">
        <f t="shared" ref="C18:D18" si="0">C6*C11</f>
        <v>11129031.113279998</v>
      </c>
      <c r="D18" s="38">
        <f t="shared" si="0"/>
        <v>0</v>
      </c>
    </row>
    <row r="19" spans="1:4">
      <c r="A19" s="173" t="s">
        <v>327</v>
      </c>
      <c r="B19" s="174">
        <v>0.02</v>
      </c>
      <c r="C19" s="174">
        <v>0.02</v>
      </c>
      <c r="D19" s="174"/>
    </row>
    <row r="20" spans="1:4">
      <c r="A20" s="173" t="s">
        <v>332</v>
      </c>
      <c r="B20" s="175">
        <v>30</v>
      </c>
      <c r="C20" s="175">
        <v>30</v>
      </c>
      <c r="D20" s="175"/>
    </row>
    <row r="21" spans="1:4">
      <c r="A21" s="173" t="s">
        <v>326</v>
      </c>
      <c r="B21" s="176">
        <f>PMT(B19/12,B20*12,-B18)</f>
        <v>34279.221763566922</v>
      </c>
      <c r="C21" s="176">
        <f t="shared" ref="C21:D21" si="1">PMT(C19/12,C20*12,-C18)</f>
        <v>41135.066116280301</v>
      </c>
      <c r="D21" s="176" t="e">
        <f t="shared" si="1"/>
        <v>#NUM!</v>
      </c>
    </row>
    <row r="22" spans="1:4" ht="17.25" thickBot="1"/>
    <row r="23" spans="1:4">
      <c r="A23" s="265" t="s">
        <v>307</v>
      </c>
      <c r="B23" s="266"/>
      <c r="C23" s="266"/>
      <c r="D23" s="267"/>
    </row>
    <row r="24" spans="1:4" ht="18.75" customHeight="1">
      <c r="A24" s="146" t="s">
        <v>308</v>
      </c>
      <c r="B24" s="268"/>
      <c r="C24" s="270"/>
      <c r="D24" s="269"/>
    </row>
    <row r="25" spans="1:4" ht="18" customHeight="1">
      <c r="A25" s="146" t="s">
        <v>309</v>
      </c>
      <c r="B25" s="271"/>
      <c r="C25" s="272"/>
      <c r="D25" s="273"/>
    </row>
    <row r="26" spans="1:4" ht="19.5" customHeight="1" thickBot="1">
      <c r="A26" s="147" t="s">
        <v>310</v>
      </c>
      <c r="B26" s="216"/>
      <c r="C26" s="217"/>
      <c r="D26" s="218"/>
    </row>
  </sheetData>
  <protectedRanges>
    <protectedRange algorithmName="SHA-512" hashValue="nYCMTTtdc7hjUMziXnDegBJ9/XN7NGy0bFSH3523wfJC98sXOtM+XWKA1k2qntWTQxl6iOd7zaTMfpjP/c2UlQ==" saltValue="f/MF0PiUi4gfXDetTOo2HQ==" spinCount="100000" sqref="B7:D7" name="範圍2"/>
    <protectedRange algorithmName="SHA-512" hashValue="x+5Ww08JYkYYSNZulQxZEPV6qw+r7UtwLmhNBusdwBXKK28fU/flMcqeFjdq0hNqxNEHKlFjyaC4ewsPJlTbjQ==" saltValue="Wj9LzMGDiPf7K8HffPsYvA==" spinCount="100000" sqref="B4:D5" name="範圍1"/>
  </protectedRanges>
  <mergeCells count="6">
    <mergeCell ref="A2:D2"/>
    <mergeCell ref="A23:D23"/>
    <mergeCell ref="B24:D24"/>
    <mergeCell ref="B26:D26"/>
    <mergeCell ref="B25:D25"/>
    <mergeCell ref="A16:D16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7"/>
  <sheetViews>
    <sheetView topLeftCell="A4" zoomScale="90" zoomScaleNormal="90" workbookViewId="0">
      <selection activeCell="A24" sqref="A24:D24"/>
    </sheetView>
  </sheetViews>
  <sheetFormatPr defaultRowHeight="16.5"/>
  <cols>
    <col min="1" max="1" width="22.5" customWidth="1"/>
    <col min="2" max="2" width="19.75" customWidth="1"/>
    <col min="3" max="3" width="21.25" customWidth="1"/>
    <col min="4" max="4" width="18.5" customWidth="1"/>
  </cols>
  <sheetData>
    <row r="1" spans="1:4" ht="17.25" thickBot="1"/>
    <row r="2" spans="1:4">
      <c r="A2" s="274" t="s">
        <v>56</v>
      </c>
      <c r="B2" s="275"/>
      <c r="C2" s="275"/>
      <c r="D2" s="276"/>
    </row>
    <row r="3" spans="1:4">
      <c r="A3" s="151" t="s">
        <v>83</v>
      </c>
      <c r="B3" s="149" t="s">
        <v>315</v>
      </c>
      <c r="C3" s="149" t="s">
        <v>316</v>
      </c>
      <c r="D3" s="152" t="s">
        <v>317</v>
      </c>
    </row>
    <row r="4" spans="1:4">
      <c r="A4" s="153" t="s">
        <v>58</v>
      </c>
      <c r="B4" s="1">
        <v>2</v>
      </c>
      <c r="C4" s="1"/>
      <c r="D4" s="13"/>
    </row>
    <row r="5" spans="1:4">
      <c r="A5" s="153" t="s">
        <v>92</v>
      </c>
      <c r="B5" s="136">
        <v>900000</v>
      </c>
      <c r="C5" s="136"/>
      <c r="D5" s="154"/>
    </row>
    <row r="6" spans="1:4">
      <c r="A6" s="153" t="s">
        <v>93</v>
      </c>
      <c r="B6" s="139">
        <f>FV(Step1基本資料輸入!D19,B4,0,-B5)</f>
        <v>954810</v>
      </c>
      <c r="C6" s="139">
        <f>FV(Step1基本資料輸入!D19,C4,0,-C5)</f>
        <v>0</v>
      </c>
      <c r="D6" s="155">
        <f>FV(Step1基本資料輸入!D19,D4,0,-D5)</f>
        <v>0</v>
      </c>
    </row>
    <row r="7" spans="1:4">
      <c r="A7" s="153" t="s">
        <v>311</v>
      </c>
      <c r="B7" s="136">
        <v>900000</v>
      </c>
      <c r="C7" s="136">
        <v>0</v>
      </c>
      <c r="D7" s="154"/>
    </row>
    <row r="8" spans="1:4">
      <c r="A8" s="153" t="s">
        <v>96</v>
      </c>
      <c r="B8" s="139">
        <f>FV(Step1基本資料輸入!E19,B4,0,-B7)</f>
        <v>1011240.0000000001</v>
      </c>
      <c r="C8" s="139">
        <f>FV(Step1基本資料輸入!E19,C4,0,-C7)</f>
        <v>0</v>
      </c>
      <c r="D8" s="155">
        <f>FV(Step1基本資料輸入!E19,D4,0,-D7)</f>
        <v>0</v>
      </c>
    </row>
    <row r="9" spans="1:4">
      <c r="A9" s="153" t="s">
        <v>95</v>
      </c>
      <c r="B9" s="136">
        <v>0</v>
      </c>
      <c r="C9" s="136">
        <v>0</v>
      </c>
      <c r="D9" s="154"/>
    </row>
    <row r="10" spans="1:4">
      <c r="A10" s="153" t="s">
        <v>94</v>
      </c>
      <c r="B10" s="139">
        <f>FV(-Step1基本資料輸入!H19,B4,0,-B9)</f>
        <v>0</v>
      </c>
      <c r="C10" s="139">
        <f>FV(-Step1基本資料輸入!H19,C4,0,-C9)</f>
        <v>0</v>
      </c>
      <c r="D10" s="155">
        <f>FV(-Step1基本資料輸入!H19,D4,0,-D9)</f>
        <v>0</v>
      </c>
    </row>
    <row r="11" spans="1:4">
      <c r="A11" s="153" t="s">
        <v>314</v>
      </c>
      <c r="B11" s="170"/>
      <c r="C11" s="170"/>
      <c r="D11" s="171"/>
    </row>
    <row r="12" spans="1:4">
      <c r="A12" s="153" t="s">
        <v>57</v>
      </c>
      <c r="B12" s="139">
        <f>B6*(1-B11)-B8-B10</f>
        <v>-56430.000000000116</v>
      </c>
      <c r="C12" s="139">
        <f>C6*(1-C11)-C8-C10</f>
        <v>0</v>
      </c>
      <c r="D12" s="155">
        <f>D6*(1-D11)-D8-D10</f>
        <v>0</v>
      </c>
    </row>
    <row r="13" spans="1:4">
      <c r="A13" s="153" t="s">
        <v>75</v>
      </c>
      <c r="B13" s="139">
        <f>PMT(Step1基本資料輸入!D19,B4,,-B12)</f>
        <v>-27798.029556650301</v>
      </c>
      <c r="C13" s="139" t="e">
        <f>PMT(Step1基本資料輸入!D19,C4,,-C12)</f>
        <v>#NUM!</v>
      </c>
      <c r="D13" s="155" t="e">
        <f>PMT(Step1基本資料輸入!D19,D4,,-D12)</f>
        <v>#NUM!</v>
      </c>
    </row>
    <row r="14" spans="1:4" ht="17.25" thickBot="1">
      <c r="A14" s="156" t="s">
        <v>74</v>
      </c>
      <c r="B14" s="157">
        <f>B13/12</f>
        <v>-2316.5024630541916</v>
      </c>
      <c r="C14" s="157" t="e">
        <f>C13/12</f>
        <v>#NUM!</v>
      </c>
      <c r="D14" s="158" t="e">
        <f>D13/12</f>
        <v>#NUM!</v>
      </c>
    </row>
    <row r="16" spans="1:4">
      <c r="A16" s="255" t="s">
        <v>334</v>
      </c>
      <c r="B16" s="255"/>
      <c r="C16" s="255"/>
      <c r="D16" s="255"/>
    </row>
    <row r="17" spans="1:4">
      <c r="A17" s="172" t="s">
        <v>328</v>
      </c>
      <c r="B17" s="172" t="s">
        <v>329</v>
      </c>
      <c r="C17" s="172" t="s">
        <v>330</v>
      </c>
      <c r="D17" s="172" t="s">
        <v>331</v>
      </c>
    </row>
    <row r="18" spans="1:4">
      <c r="A18" s="173" t="s">
        <v>325</v>
      </c>
      <c r="B18" s="38">
        <f>B6*B11</f>
        <v>0</v>
      </c>
      <c r="C18" s="38">
        <f t="shared" ref="C18:D18" si="0">C6*C11</f>
        <v>0</v>
      </c>
      <c r="D18" s="38">
        <f t="shared" si="0"/>
        <v>0</v>
      </c>
    </row>
    <row r="19" spans="1:4">
      <c r="A19" s="173" t="s">
        <v>327</v>
      </c>
      <c r="B19" s="174"/>
      <c r="C19" s="174"/>
      <c r="D19" s="174"/>
    </row>
    <row r="20" spans="1:4">
      <c r="A20" s="173" t="s">
        <v>332</v>
      </c>
      <c r="B20" s="175"/>
      <c r="C20" s="175"/>
      <c r="D20" s="175"/>
    </row>
    <row r="21" spans="1:4">
      <c r="A21" s="173" t="s">
        <v>326</v>
      </c>
      <c r="B21" s="176" t="e">
        <f>PMT(B19/12,B20*12,-B18)</f>
        <v>#NUM!</v>
      </c>
      <c r="C21" s="176" t="e">
        <f t="shared" ref="C21:D21" si="1">PMT(C19/12,C20*12,-C18)</f>
        <v>#NUM!</v>
      </c>
      <c r="D21" s="176" t="e">
        <f t="shared" si="1"/>
        <v>#NUM!</v>
      </c>
    </row>
    <row r="22" spans="1:4">
      <c r="C22" t="s">
        <v>333</v>
      </c>
    </row>
    <row r="23" spans="1:4" ht="17.25" thickBot="1"/>
    <row r="24" spans="1:4">
      <c r="A24" s="265" t="s">
        <v>335</v>
      </c>
      <c r="B24" s="266"/>
      <c r="C24" s="266"/>
      <c r="D24" s="267"/>
    </row>
    <row r="25" spans="1:4" ht="21" customHeight="1">
      <c r="A25" s="146" t="s">
        <v>320</v>
      </c>
      <c r="B25" s="268"/>
      <c r="C25" s="270"/>
      <c r="D25" s="269"/>
    </row>
    <row r="26" spans="1:4" ht="18.75" customHeight="1">
      <c r="A26" s="146" t="s">
        <v>321</v>
      </c>
      <c r="B26" s="271"/>
      <c r="C26" s="272"/>
      <c r="D26" s="273"/>
    </row>
    <row r="27" spans="1:4" ht="21.75" customHeight="1" thickBot="1">
      <c r="A27" s="147" t="s">
        <v>322</v>
      </c>
      <c r="B27" s="216"/>
      <c r="C27" s="217"/>
      <c r="D27" s="218"/>
    </row>
  </sheetData>
  <mergeCells count="6">
    <mergeCell ref="B27:D27"/>
    <mergeCell ref="A16:D16"/>
    <mergeCell ref="A2:D2"/>
    <mergeCell ref="A24:D24"/>
    <mergeCell ref="B25:D25"/>
    <mergeCell ref="B26:D26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4</vt:i4>
      </vt:variant>
    </vt:vector>
  </HeadingPairs>
  <TitlesOfParts>
    <vt:vector size="16" baseType="lpstr">
      <vt:lpstr>Step1基本資料輸入</vt:lpstr>
      <vt:lpstr>Step2財務目標設定</vt:lpstr>
      <vt:lpstr>Step3收支與資產負債表</vt:lpstr>
      <vt:lpstr>Step4財務資料分析與四大帳戶</vt:lpstr>
      <vt:lpstr>保險需求分析</vt:lpstr>
      <vt:lpstr>教育金試算</vt:lpstr>
      <vt:lpstr>退休規劃試算</vt:lpstr>
      <vt:lpstr>購屋試算</vt:lpstr>
      <vt:lpstr>購車試算</vt:lpstr>
      <vt:lpstr>收支與資產負債表(調整後)</vt:lpstr>
      <vt:lpstr>短期財務目標試算</vt:lpstr>
      <vt:lpstr>參數表</vt:lpstr>
      <vt:lpstr>Step1基本資料輸入!Print_Area</vt:lpstr>
      <vt:lpstr>Step2財務目標設定!Print_Area</vt:lpstr>
      <vt:lpstr>Step3收支與資產負債表!Print_Area</vt:lpstr>
      <vt:lpstr>保險需求分析!Print_Area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shg0919</dc:creator>
  <cp:lastModifiedBy>蕭豪珈</cp:lastModifiedBy>
  <cp:lastPrinted>2019-07-22T07:28:12Z</cp:lastPrinted>
  <dcterms:created xsi:type="dcterms:W3CDTF">2017-06-27T02:22:59Z</dcterms:created>
  <dcterms:modified xsi:type="dcterms:W3CDTF">2023-01-05T09:44:03Z</dcterms:modified>
</cp:coreProperties>
</file>